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40" tabRatio="599" activeTab="0"/>
  </bookViews>
  <sheets>
    <sheet name="Adj Admissions" sheetId="1" r:id="rId1"/>
    <sheet name="Adj. ADC" sheetId="2" r:id="rId2"/>
    <sheet name="Deliveries" sheetId="3" r:id="rId3"/>
    <sheet name="OP Surgeries" sheetId="4" r:id="rId4"/>
    <sheet name="ER Visits" sheetId="5" r:id="rId5"/>
    <sheet name="OP Visits" sheetId="6" r:id="rId6"/>
    <sheet name="HHA" sheetId="7" r:id="rId7"/>
    <sheet name="CFC" sheetId="8" r:id="rId8"/>
    <sheet name="Kerr Nordyke Visits" sheetId="9" r:id="rId9"/>
    <sheet name="Net Revenue" sheetId="10" r:id="rId10"/>
    <sheet name="SWB" sheetId="11" r:id="rId11"/>
    <sheet name="Supply" sheetId="12" r:id="rId12"/>
    <sheet name="Bad Debt" sheetId="13" r:id="rId13"/>
    <sheet name="Other OP Exp" sheetId="14" r:id="rId14"/>
    <sheet name="Net Income" sheetId="15" r:id="rId15"/>
    <sheet name="FTEs" sheetId="16" r:id="rId16"/>
    <sheet name="Cash" sheetId="17" r:id="rId17"/>
    <sheet name="Sp - BD" sheetId="18" r:id="rId18"/>
    <sheet name="AR" sheetId="19" r:id="rId19"/>
    <sheet name="Cash Collections" sheetId="20" r:id="rId20"/>
    <sheet name="Sheet1" sheetId="21" r:id="rId21"/>
    <sheet name="Sheet4" sheetId="22" r:id="rId22"/>
    <sheet name="Sheet2" sheetId="23" r:id="rId23"/>
    <sheet name="Sheet3" sheetId="24" r:id="rId24"/>
  </sheets>
  <definedNames>
    <definedName name="_xlnm.Print_Area" localSheetId="20">'Sheet1'!$A$1:$A$16</definedName>
  </definedNames>
  <calcPr fullCalcOnLoad="1"/>
</workbook>
</file>

<file path=xl/sharedStrings.xml><?xml version="1.0" encoding="utf-8"?>
<sst xmlns="http://schemas.openxmlformats.org/spreadsheetml/2006/main" count="602" uniqueCount="319">
  <si>
    <t>operating exp</t>
  </si>
  <si>
    <t>Adjusted Adm - 06</t>
  </si>
  <si>
    <t>Adjusted Adm - 07</t>
  </si>
  <si>
    <t>Adjusted Adm - 08</t>
  </si>
  <si>
    <t>Cash - 06</t>
  </si>
  <si>
    <t>Cash - 07</t>
  </si>
  <si>
    <t>ADC - 06</t>
  </si>
  <si>
    <t>ADC - 07</t>
  </si>
  <si>
    <t>ADC - 08</t>
  </si>
  <si>
    <t>Pt. Days - 06</t>
  </si>
  <si>
    <t>Adm - 06</t>
  </si>
  <si>
    <t>CFC Visits - 06</t>
  </si>
  <si>
    <t>CFC Visits - 07</t>
  </si>
  <si>
    <t>HHA Visits - 06</t>
  </si>
  <si>
    <t>HHA Visits - 07</t>
  </si>
  <si>
    <t>FTEs - 06</t>
  </si>
  <si>
    <t>FTEs - 07</t>
  </si>
  <si>
    <t>Net Income - 06</t>
  </si>
  <si>
    <t>Net Income - 07</t>
  </si>
  <si>
    <t>Adj. ADC - 08</t>
  </si>
  <si>
    <t>Adj. ADC - 07</t>
  </si>
  <si>
    <t>Adj. ADC - 06</t>
  </si>
  <si>
    <t>Deliveries - 08</t>
  </si>
  <si>
    <t>Deliveries - 07</t>
  </si>
  <si>
    <t>Deliveries - 06</t>
  </si>
  <si>
    <t>O/P Surgeries - 08</t>
  </si>
  <si>
    <t>O/P Surgeries - 07</t>
  </si>
  <si>
    <t>O/P Surgeries - 06</t>
  </si>
  <si>
    <t>ER Visits - 08</t>
  </si>
  <si>
    <t>ER Visits - 07</t>
  </si>
  <si>
    <t>ER Visits - 06</t>
  </si>
  <si>
    <t>Other O/P Visits - 08</t>
  </si>
  <si>
    <t>Other O/P Visits - 07</t>
  </si>
  <si>
    <t>Other O/P Visits - 06</t>
  </si>
  <si>
    <t>Net Revenue - 08</t>
  </si>
  <si>
    <t>Net Revenue - 07</t>
  </si>
  <si>
    <t>Net Revenue - 06</t>
  </si>
  <si>
    <t>SWB - 08</t>
  </si>
  <si>
    <t>SWB - 07</t>
  </si>
  <si>
    <t>SWB - 06</t>
  </si>
  <si>
    <t>Supplies - 08</t>
  </si>
  <si>
    <t>Supplies - 07</t>
  </si>
  <si>
    <t>Supplies - 06</t>
  </si>
  <si>
    <t>Bad Debts - 08</t>
  </si>
  <si>
    <t>Bad Debts - 07</t>
  </si>
  <si>
    <t>Bad Debts - 06</t>
  </si>
  <si>
    <t>All Other Exp - 08</t>
  </si>
  <si>
    <t>All Other Exp - 07</t>
  </si>
  <si>
    <t>All Other Exp - 06</t>
  </si>
  <si>
    <t>Net Income - 08</t>
  </si>
  <si>
    <t>FTEs - 08</t>
  </si>
  <si>
    <t>HHA Visits - 08</t>
  </si>
  <si>
    <t>CFC Visits - 08</t>
  </si>
  <si>
    <t>Pt. Days - 08</t>
  </si>
  <si>
    <t>Case Mix -08</t>
  </si>
  <si>
    <t>LOS - 08</t>
  </si>
  <si>
    <t>Self Pay Rev - 08</t>
  </si>
  <si>
    <t>Adjusted Adm - 09</t>
  </si>
  <si>
    <t>Adj. ADC - 09</t>
  </si>
  <si>
    <t>Cash - 08</t>
  </si>
  <si>
    <t>Cash - 09</t>
  </si>
  <si>
    <t>Bad Debts - 09</t>
  </si>
  <si>
    <t>Self Pay Rev - 09</t>
  </si>
  <si>
    <t>ADC - 09</t>
  </si>
  <si>
    <t>Pt. Days - 09</t>
  </si>
  <si>
    <t>CFC Visits - 09</t>
  </si>
  <si>
    <t>HHA Visits - 09</t>
  </si>
  <si>
    <t>FTEs - 09</t>
  </si>
  <si>
    <t>Net Income - 09</t>
  </si>
  <si>
    <t>All Other Exp - 09</t>
  </si>
  <si>
    <t>Supplies - 09</t>
  </si>
  <si>
    <t>SWB - 09</t>
  </si>
  <si>
    <t>Net Revenue - 09</t>
  </si>
  <si>
    <t>Other O/P Visits - 09</t>
  </si>
  <si>
    <t>ER Visits - 09</t>
  </si>
  <si>
    <t>Deliveries - 09</t>
  </si>
  <si>
    <t>O/P Surgeries - 09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</si>
  <si>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</si>
  <si>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</si>
  <si>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</si>
  <si>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</si>
  <si>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</si>
  <si>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</si>
  <si>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</si>
  <si>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</si>
  <si>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</si>
  <si>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</si>
  <si>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</si>
  <si>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</si>
  <si>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AR - Gross - 09</t>
  </si>
  <si>
    <t>AR - Gross - 08</t>
  </si>
  <si>
    <t>AR - Net - 09</t>
  </si>
  <si>
    <t>AR - Net - 08</t>
  </si>
  <si>
    <t>Hosp Misc Cash</t>
  </si>
  <si>
    <t>Hosp Patient Cash</t>
  </si>
  <si>
    <t>Kerr Patient Cash</t>
  </si>
  <si>
    <t>Total</t>
  </si>
  <si>
    <t>Adjusted Adm - 10</t>
  </si>
  <si>
    <t>Adj ADC - 10</t>
  </si>
  <si>
    <t>Deliveries - 10</t>
  </si>
  <si>
    <t>O/P Surgeries - 10</t>
  </si>
  <si>
    <t>ER Visits - 10</t>
  </si>
  <si>
    <t>Other O/P Visits - 10</t>
  </si>
  <si>
    <t>Net Revenue - 10</t>
  </si>
  <si>
    <t>SWB - 10</t>
  </si>
  <si>
    <t>Supplies - 10</t>
  </si>
  <si>
    <t>Bad Debts - 10</t>
  </si>
  <si>
    <t>All Other Exp - 10</t>
  </si>
  <si>
    <t>Net Income - 10</t>
  </si>
  <si>
    <t>FTEs - 10</t>
  </si>
  <si>
    <t>operating exp - 10</t>
  </si>
  <si>
    <t>CFC Visits - 10</t>
  </si>
  <si>
    <t>Pt Days - 10</t>
  </si>
  <si>
    <t>ADC - 10</t>
  </si>
  <si>
    <t>Self Pay Rev - 10</t>
  </si>
  <si>
    <t>Cash - 10</t>
  </si>
  <si>
    <t>AR - Gross - 10</t>
  </si>
  <si>
    <t>AR - Net - 10</t>
  </si>
  <si>
    <t>HHA Visits - 10</t>
  </si>
  <si>
    <t>Avg</t>
  </si>
  <si>
    <t xml:space="preserve">Total </t>
  </si>
  <si>
    <t>Adjusted Adm - 11</t>
  </si>
  <si>
    <t>Adj Adc - 11</t>
  </si>
  <si>
    <t>Deliveries - 11</t>
  </si>
  <si>
    <t>O/P Surgeries - 11</t>
  </si>
  <si>
    <t>ER Visits - 11</t>
  </si>
  <si>
    <t>Other O/P Visits - 11</t>
  </si>
  <si>
    <t>Net Revenue - 11</t>
  </si>
  <si>
    <t>SWB - 11</t>
  </si>
  <si>
    <t>Supplies - 11</t>
  </si>
  <si>
    <t>Bad Debts - 11</t>
  </si>
  <si>
    <t>All Other Exp - 11</t>
  </si>
  <si>
    <t xml:space="preserve">Net Income - 11 </t>
  </si>
  <si>
    <t>FTEs - 11</t>
  </si>
  <si>
    <t>Operating expense - 11</t>
  </si>
  <si>
    <t>HHA Visits - 11</t>
  </si>
  <si>
    <t>CFC Visits - 11</t>
  </si>
  <si>
    <t>Pt. Days - 11</t>
  </si>
  <si>
    <t>ADC - 11</t>
  </si>
  <si>
    <t>Self Pay Rev - 11</t>
  </si>
  <si>
    <t>Cash - 11</t>
  </si>
  <si>
    <t>AR - Net - 11</t>
  </si>
  <si>
    <t>Month</t>
  </si>
  <si>
    <t>Adjusted Adm - 12</t>
  </si>
  <si>
    <t>Adj Adc - 12</t>
  </si>
  <si>
    <t>Deliveries - 12</t>
  </si>
  <si>
    <t>O/P Surgeries - 12</t>
  </si>
  <si>
    <t>ER Visits - 12</t>
  </si>
  <si>
    <t>Other O/P Visits - 12</t>
  </si>
  <si>
    <t>Net Revenue - 12</t>
  </si>
  <si>
    <t>SWB - 12</t>
  </si>
  <si>
    <t>Supplies - 12</t>
  </si>
  <si>
    <t>Bad Debts - 12</t>
  </si>
  <si>
    <t>All Other Exp - 12</t>
  </si>
  <si>
    <t>Net Income - 12</t>
  </si>
  <si>
    <t>FTEs - 12</t>
  </si>
  <si>
    <t>Operating expense - 12</t>
  </si>
  <si>
    <t>HHA Visits - 12</t>
  </si>
  <si>
    <t>CFC Visits - 12</t>
  </si>
  <si>
    <t>Pt. Days - 12</t>
  </si>
  <si>
    <t>ADC - 12</t>
  </si>
  <si>
    <t>ADC - 12 Bud</t>
  </si>
  <si>
    <t>Self Pay Rev - 12</t>
  </si>
  <si>
    <t>Cash - 12</t>
  </si>
  <si>
    <t>AR - Net - 12</t>
  </si>
  <si>
    <t>Pt Days - 13 Bud</t>
  </si>
  <si>
    <t>Pt. Days - 13</t>
  </si>
  <si>
    <t>Cash - 13</t>
  </si>
  <si>
    <t>Kerr Visits - 14</t>
  </si>
  <si>
    <t>Kerr Visits - 14 Bud</t>
  </si>
  <si>
    <t>Kerr Visits - 12</t>
  </si>
  <si>
    <t>Kerr Visits - 11</t>
  </si>
  <si>
    <t>Adjusted Adm - 16</t>
  </si>
  <si>
    <t xml:space="preserve">Adj ADC - 16 </t>
  </si>
  <si>
    <t>Deiveries - 16</t>
  </si>
  <si>
    <t>O/P Surgeries  - 16</t>
  </si>
  <si>
    <t>ER Visits - 16</t>
  </si>
  <si>
    <t>Other O/P Visits - 16</t>
  </si>
  <si>
    <t>Net Revenue - 16</t>
  </si>
  <si>
    <t>SWB - 16</t>
  </si>
  <si>
    <t>Supplies - 16</t>
  </si>
  <si>
    <t>Bad Debts - 16</t>
  </si>
  <si>
    <t>All Other Exp - 16</t>
  </si>
  <si>
    <t>FTEs - 16</t>
  </si>
  <si>
    <t>Operating Exp - 16</t>
  </si>
  <si>
    <t>HHA Visits - 16</t>
  </si>
  <si>
    <t>CFC Visits - 16</t>
  </si>
  <si>
    <t>W/C Visits - 16</t>
  </si>
  <si>
    <t>AR - Net - 16</t>
  </si>
  <si>
    <t>Adjusted Adm - 17</t>
  </si>
  <si>
    <t>Adj ADC - 17</t>
  </si>
  <si>
    <t>O/P Surgeries  - 17</t>
  </si>
  <si>
    <t>ER Visits - 17</t>
  </si>
  <si>
    <t>Other O/P Visits - 17</t>
  </si>
  <si>
    <t>Net Revenue - 17</t>
  </si>
  <si>
    <t>SWB - 17</t>
  </si>
  <si>
    <t>Supplies - 17</t>
  </si>
  <si>
    <t>Bad Debts - 17</t>
  </si>
  <si>
    <t>All Other Exp - 17</t>
  </si>
  <si>
    <t>FTEs - 17</t>
  </si>
  <si>
    <t>Operating Exp - 17</t>
  </si>
  <si>
    <t>HHA Visits - 17</t>
  </si>
  <si>
    <t>CFC Visits - 17</t>
  </si>
  <si>
    <t>W/C Visits - 17</t>
  </si>
  <si>
    <t>Self Pay Rev - 16</t>
  </si>
  <si>
    <t>Cash - 17</t>
  </si>
  <si>
    <t>AR - Net - 17</t>
  </si>
  <si>
    <t xml:space="preserve">Self Pay Rev - 17 </t>
  </si>
  <si>
    <t xml:space="preserve">Bad Debts - 17 </t>
  </si>
  <si>
    <t>Deliveries - 17</t>
  </si>
  <si>
    <t>Adjusted Adm - 18</t>
  </si>
  <si>
    <t>Adj ADC - 18</t>
  </si>
  <si>
    <t>Deliveries - 18</t>
  </si>
  <si>
    <t>O/P Surgeries  - 18</t>
  </si>
  <si>
    <t>ER Visits - 18</t>
  </si>
  <si>
    <t>Other O/P Visits - 18</t>
  </si>
  <si>
    <t>Net Revenue - 18</t>
  </si>
  <si>
    <t>SWB - 18</t>
  </si>
  <si>
    <t>Supplies - 18</t>
  </si>
  <si>
    <t>Bad Debts - 18</t>
  </si>
  <si>
    <t>All Other Exp - 18</t>
  </si>
  <si>
    <t>FTEs - 18</t>
  </si>
  <si>
    <t>Operating Exp - 18</t>
  </si>
  <si>
    <t>HHA Visits - 18</t>
  </si>
  <si>
    <t>CFC Visits - 18</t>
  </si>
  <si>
    <t>W/C Visits - 18</t>
  </si>
  <si>
    <t>Self Pay Rev - 18</t>
  </si>
  <si>
    <t>AR - Net - 18</t>
  </si>
  <si>
    <t>Cash - 18</t>
  </si>
  <si>
    <t>Adjusted Adm - 19</t>
  </si>
  <si>
    <t>Adj ADC - 19</t>
  </si>
  <si>
    <t>Deliveries - 19</t>
  </si>
  <si>
    <t>O/P Surgeries  - 19</t>
  </si>
  <si>
    <t>ER Visits - 19</t>
  </si>
  <si>
    <t>Net Revenue - 19</t>
  </si>
  <si>
    <t>SWB - 19</t>
  </si>
  <si>
    <t>Other O/P Visits - 19</t>
  </si>
  <si>
    <t>Supplies - 19</t>
  </si>
  <si>
    <t>Bad Debts - 19</t>
  </si>
  <si>
    <t>All Other Exp - 19</t>
  </si>
  <si>
    <t>Operating Exp - 19</t>
  </si>
  <si>
    <t>HHA Visits - 19</t>
  </si>
  <si>
    <t>CFC Visits - 19</t>
  </si>
  <si>
    <t>W/C Visits - 19</t>
  </si>
  <si>
    <t>Self Pay Rev - 19</t>
  </si>
  <si>
    <t>Cash - 19</t>
  </si>
  <si>
    <t>AR - Net - 19</t>
  </si>
  <si>
    <t>Adjusted Adm - 20</t>
  </si>
  <si>
    <t>Adj ADC - 20</t>
  </si>
  <si>
    <t>Deliveries - 20</t>
  </si>
  <si>
    <t>O/P Surgeries  - 20</t>
  </si>
  <si>
    <t>ER Visits - 20</t>
  </si>
  <si>
    <t>Other O/P Visits - 20</t>
  </si>
  <si>
    <t>Net Revenue - 20</t>
  </si>
  <si>
    <t>SWB - 20</t>
  </si>
  <si>
    <t>Supplies - 20</t>
  </si>
  <si>
    <t>All Other Exp - 20</t>
  </si>
  <si>
    <t>Bad Debts - 20</t>
  </si>
  <si>
    <t>FTEs - 20</t>
  </si>
  <si>
    <t>Operating Exp - 20</t>
  </si>
  <si>
    <t>HHA Visits - 20</t>
  </si>
  <si>
    <t>CFC Visits - 20</t>
  </si>
  <si>
    <t>W/C Visits - 20</t>
  </si>
  <si>
    <t>Ortho Clinic Visits  - 20</t>
  </si>
  <si>
    <t>Ortho Clinic Visits  - 24</t>
  </si>
  <si>
    <t>Ortho Clinic Visits  - 26</t>
  </si>
  <si>
    <t>Ortho Clinic Visits  - 19</t>
  </si>
  <si>
    <t>Ortho Clinic Visits  - 18</t>
  </si>
  <si>
    <t>Ortho Clinic Visits  - 17</t>
  </si>
  <si>
    <t>Ortho Clinic Visits  - 16</t>
  </si>
  <si>
    <t>Self Pay Rev - 20</t>
  </si>
  <si>
    <t>Cash - 20</t>
  </si>
  <si>
    <t>AR - Net - 20</t>
  </si>
  <si>
    <t>Net Income - 20</t>
  </si>
  <si>
    <t>Net Income - 19</t>
  </si>
  <si>
    <t>Net Income - 18</t>
  </si>
  <si>
    <t>Net Income - 17</t>
  </si>
  <si>
    <t>Net Income - 16</t>
  </si>
  <si>
    <t>Adjusted Adm - 21</t>
  </si>
  <si>
    <t>Adj ADC - 21</t>
  </si>
  <si>
    <t>Deliveries - 21</t>
  </si>
  <si>
    <t>O/P Surgeries  - 21</t>
  </si>
  <si>
    <t>ER Visits - 21</t>
  </si>
  <si>
    <t>Other O/P Visits - 21</t>
  </si>
  <si>
    <t>Net Revenue - 21</t>
  </si>
  <si>
    <t>SWB - 21</t>
  </si>
  <si>
    <t>Supplies - 21</t>
  </si>
  <si>
    <t>Supplies - 21 Bud</t>
  </si>
  <si>
    <t>Adjusted Adm - 21 Bud</t>
  </si>
  <si>
    <t>Adj Adc - 21 Bud</t>
  </si>
  <si>
    <t>Deliveries - 21 Bud</t>
  </si>
  <si>
    <t>O/P Surgeries - 21 Bud</t>
  </si>
  <si>
    <t>ER Visits - 21 Bud</t>
  </si>
  <si>
    <t>Other O/P Visits - 21 Bud</t>
  </si>
  <si>
    <t>Net Revenue - 21 Bud</t>
  </si>
  <si>
    <t>SWB - 21 Bud</t>
  </si>
  <si>
    <t>Bad Debts - 21</t>
  </si>
  <si>
    <t xml:space="preserve"> Bad Debts - 21 Bud</t>
  </si>
  <si>
    <t>All Other Exp - 21</t>
  </si>
  <si>
    <t>All Other Exp - 21 Bud</t>
  </si>
  <si>
    <t>Net Income - 21</t>
  </si>
  <si>
    <t>Net Income - 21 Bud</t>
  </si>
  <si>
    <t>FTEs - 19</t>
  </si>
  <si>
    <t>FTEs - 21</t>
  </si>
  <si>
    <t>FTEs - 21 Bud</t>
  </si>
  <si>
    <t>Operating Exp - 21</t>
  </si>
  <si>
    <t>Operating Exp - 21 Bud</t>
  </si>
  <si>
    <t>HHA Visits - 21</t>
  </si>
  <si>
    <t>HHA Visits - 21 Bud</t>
  </si>
  <si>
    <t>CFC Visits - 21</t>
  </si>
  <si>
    <t>W/C Visits - 21</t>
  </si>
  <si>
    <t>CFC Visits - 21 Bud</t>
  </si>
  <si>
    <t>Ortho Clinic Visits  - 21 Bud</t>
  </si>
  <si>
    <t xml:space="preserve">Ortho Clinic Visits  - 21 </t>
  </si>
  <si>
    <t>Self Pay Rev - 21</t>
  </si>
  <si>
    <t>Bad Debts - 21 Bud</t>
  </si>
  <si>
    <t>Self Pay Rev - 21 Bud</t>
  </si>
  <si>
    <t>Cash - 21</t>
  </si>
  <si>
    <t>AR - Net - 21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</si>
</sst>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);\(#,##0.0\)"/>
    <numFmt numFmtId="167" formatCode="0_);\(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2.2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2" fillId="0" borderId="0" xfId="42" applyNumberFormat="1" applyFont="1" applyFill="1" applyAlignment="1" applyProtection="1">
      <alignment horizontal="right"/>
      <protection locked="0"/>
    </xf>
    <xf numFmtId="164" fontId="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10" xfId="42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worksheet" Target="worksheets/sheet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Adjusted Admissions 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025"/>
          <c:w val="0.77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Adjusted Adm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Sheet1!$B$2:$N$2</c:f>
              <c:numCache>
                <c:ptCount val="13"/>
                <c:pt idx="0">
                  <c:v>257</c:v>
                </c:pt>
                <c:pt idx="1">
                  <c:v>318</c:v>
                </c:pt>
                <c:pt idx="2">
                  <c:v>317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297.3333333333333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Adjusted Adm - 21 Bud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Sheet1!$B$3:$N$3</c:f>
              <c:numCache>
                <c:ptCount val="13"/>
                <c:pt idx="0">
                  <c:v>520</c:v>
                </c:pt>
                <c:pt idx="1">
                  <c:v>429</c:v>
                </c:pt>
                <c:pt idx="2">
                  <c:v>334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427.6666666666667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Adjusted Adm - 20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Sheet1!$B$4:$N$4</c:f>
              <c:numCache>
                <c:ptCount val="13"/>
                <c:pt idx="0">
                  <c:v>516</c:v>
                </c:pt>
                <c:pt idx="1">
                  <c:v>431</c:v>
                </c:pt>
                <c:pt idx="2">
                  <c:v>349</c:v>
                </c:pt>
                <c:pt idx="3">
                  <c:v>60</c:v>
                </c:pt>
                <c:pt idx="4">
                  <c:v>288</c:v>
                </c:pt>
                <c:pt idx="5">
                  <c:v>382</c:v>
                </c:pt>
                <c:pt idx="6">
                  <c:v>324</c:v>
                </c:pt>
                <c:pt idx="7">
                  <c:v>309</c:v>
                </c:pt>
                <c:pt idx="8">
                  <c:v>331</c:v>
                </c:pt>
                <c:pt idx="9">
                  <c:v>316</c:v>
                </c:pt>
                <c:pt idx="10">
                  <c:v>224</c:v>
                </c:pt>
                <c:pt idx="11">
                  <c:v>364</c:v>
                </c:pt>
                <c:pt idx="12">
                  <c:v>324.5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Adjusted Adm - 19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Sheet1!$B$5:$N$5</c:f>
              <c:numCache>
                <c:ptCount val="13"/>
                <c:pt idx="0">
                  <c:v>424</c:v>
                </c:pt>
                <c:pt idx="1">
                  <c:v>480</c:v>
                </c:pt>
                <c:pt idx="2">
                  <c:v>512</c:v>
                </c:pt>
                <c:pt idx="3">
                  <c:v>488</c:v>
                </c:pt>
                <c:pt idx="4">
                  <c:v>448</c:v>
                </c:pt>
                <c:pt idx="5">
                  <c:v>389</c:v>
                </c:pt>
                <c:pt idx="6">
                  <c:v>590</c:v>
                </c:pt>
                <c:pt idx="7">
                  <c:v>404</c:v>
                </c:pt>
                <c:pt idx="8">
                  <c:v>553</c:v>
                </c:pt>
                <c:pt idx="9">
                  <c:v>407</c:v>
                </c:pt>
                <c:pt idx="10">
                  <c:v>405</c:v>
                </c:pt>
                <c:pt idx="11">
                  <c:v>371</c:v>
                </c:pt>
                <c:pt idx="12">
                  <c:v>455.9166666666667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Adjusted Adm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Sheet1!$B$6:$N$6</c:f>
              <c:numCache>
                <c:ptCount val="13"/>
                <c:pt idx="0">
                  <c:v>852</c:v>
                </c:pt>
                <c:pt idx="1">
                  <c:v>818</c:v>
                </c:pt>
                <c:pt idx="2">
                  <c:v>1002</c:v>
                </c:pt>
                <c:pt idx="3">
                  <c:v>704</c:v>
                </c:pt>
                <c:pt idx="4">
                  <c:v>926</c:v>
                </c:pt>
                <c:pt idx="5">
                  <c:v>943</c:v>
                </c:pt>
                <c:pt idx="6">
                  <c:v>539</c:v>
                </c:pt>
                <c:pt idx="7">
                  <c:v>673</c:v>
                </c:pt>
                <c:pt idx="8">
                  <c:v>494</c:v>
                </c:pt>
                <c:pt idx="9">
                  <c:v>508</c:v>
                </c:pt>
                <c:pt idx="10">
                  <c:v>419</c:v>
                </c:pt>
                <c:pt idx="11">
                  <c:v>501</c:v>
                </c:pt>
                <c:pt idx="12">
                  <c:v>698.25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Adjusted Adm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Sheet1!$B$7:$N$7</c:f>
              <c:numCache>
                <c:ptCount val="13"/>
                <c:pt idx="0">
                  <c:v>590</c:v>
                </c:pt>
                <c:pt idx="1">
                  <c:v>451</c:v>
                </c:pt>
                <c:pt idx="2">
                  <c:v>455</c:v>
                </c:pt>
                <c:pt idx="3">
                  <c:v>458</c:v>
                </c:pt>
                <c:pt idx="4">
                  <c:v>651</c:v>
                </c:pt>
                <c:pt idx="5">
                  <c:v>626</c:v>
                </c:pt>
                <c:pt idx="6">
                  <c:v>537</c:v>
                </c:pt>
                <c:pt idx="7">
                  <c:v>821</c:v>
                </c:pt>
                <c:pt idx="8">
                  <c:v>725</c:v>
                </c:pt>
                <c:pt idx="9">
                  <c:v>924</c:v>
                </c:pt>
                <c:pt idx="10">
                  <c:v>646</c:v>
                </c:pt>
                <c:pt idx="11">
                  <c:v>642</c:v>
                </c:pt>
                <c:pt idx="12">
                  <c:v>627.1666666666666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  <c:max val="12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Admissions - Excl Asst. Living
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7125"/>
          <c:w val="0.087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Revenue ($ in 000s)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75"/>
          <c:w val="0.763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Sheet1!$A$92</c:f>
              <c:strCache>
                <c:ptCount val="1"/>
                <c:pt idx="0">
                  <c:v>Net Revenue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Sheet1!$B$92:$N$92</c:f>
              <c:numCache>
                <c:ptCount val="13"/>
                <c:pt idx="0">
                  <c:v>3316</c:v>
                </c:pt>
                <c:pt idx="1">
                  <c:v>2348</c:v>
                </c:pt>
                <c:pt idx="2">
                  <c:v>3219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Sheet1!$A$93</c:f>
              <c:strCache>
                <c:ptCount val="1"/>
                <c:pt idx="0">
                  <c:v>Net Revenue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Sheet1!$B$93:$N$93</c:f>
              <c:numCache>
                <c:ptCount val="13"/>
                <c:pt idx="0">
                  <c:v>3326</c:v>
                </c:pt>
                <c:pt idx="1">
                  <c:v>3595</c:v>
                </c:pt>
                <c:pt idx="2">
                  <c:v>2498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3139.6666666666665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Sheet1!$A$94</c:f>
              <c:strCache>
                <c:ptCount val="1"/>
                <c:pt idx="0">
                  <c:v>Net Revenue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Sheet1!$B$94:$N$94</c:f>
              <c:numCache>
                <c:ptCount val="13"/>
                <c:pt idx="0">
                  <c:v>2970</c:v>
                </c:pt>
                <c:pt idx="1">
                  <c:v>3230</c:v>
                </c:pt>
                <c:pt idx="2">
                  <c:v>2345</c:v>
                </c:pt>
                <c:pt idx="3">
                  <c:v>1004</c:v>
                </c:pt>
                <c:pt idx="4">
                  <c:v>2516</c:v>
                </c:pt>
                <c:pt idx="5">
                  <c:v>3067</c:v>
                </c:pt>
                <c:pt idx="6">
                  <c:v>2853</c:v>
                </c:pt>
                <c:pt idx="7">
                  <c:v>2385</c:v>
                </c:pt>
                <c:pt idx="8">
                  <c:v>4739</c:v>
                </c:pt>
                <c:pt idx="9">
                  <c:v>3540</c:v>
                </c:pt>
                <c:pt idx="10">
                  <c:v>3204</c:v>
                </c:pt>
                <c:pt idx="11">
                  <c:v>1837</c:v>
                </c:pt>
                <c:pt idx="12">
                  <c:v>2807.5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Sheet1!$A$95</c:f>
              <c:strCache>
                <c:ptCount val="1"/>
                <c:pt idx="0">
                  <c:v>Net Revenue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Sheet1!$B$95:$N$95</c:f>
              <c:numCache>
                <c:ptCount val="13"/>
                <c:pt idx="0">
                  <c:v>2767</c:v>
                </c:pt>
                <c:pt idx="1">
                  <c:v>2694</c:v>
                </c:pt>
                <c:pt idx="2">
                  <c:v>2756</c:v>
                </c:pt>
                <c:pt idx="3">
                  <c:v>2835</c:v>
                </c:pt>
                <c:pt idx="4">
                  <c:v>3017</c:v>
                </c:pt>
                <c:pt idx="5">
                  <c:v>1746</c:v>
                </c:pt>
                <c:pt idx="6">
                  <c:v>3234</c:v>
                </c:pt>
                <c:pt idx="7">
                  <c:v>3366</c:v>
                </c:pt>
                <c:pt idx="8">
                  <c:v>3419</c:v>
                </c:pt>
                <c:pt idx="9">
                  <c:v>2918</c:v>
                </c:pt>
                <c:pt idx="10">
                  <c:v>3553</c:v>
                </c:pt>
                <c:pt idx="11">
                  <c:v>382</c:v>
                </c:pt>
                <c:pt idx="12">
                  <c:v>2723.9166666666665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Sheet1!$A$96</c:f>
              <c:strCache>
                <c:ptCount val="1"/>
                <c:pt idx="0">
                  <c:v>Net Revenue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Sheet1!$B$96:$N$96</c:f>
              <c:numCache>
                <c:ptCount val="13"/>
                <c:pt idx="0">
                  <c:v>5314</c:v>
                </c:pt>
                <c:pt idx="1">
                  <c:v>3771</c:v>
                </c:pt>
                <c:pt idx="2">
                  <c:v>4402</c:v>
                </c:pt>
                <c:pt idx="3">
                  <c:v>3383</c:v>
                </c:pt>
                <c:pt idx="4">
                  <c:v>4435</c:v>
                </c:pt>
                <c:pt idx="5">
                  <c:v>5230</c:v>
                </c:pt>
                <c:pt idx="6">
                  <c:v>2366</c:v>
                </c:pt>
                <c:pt idx="7">
                  <c:v>2390</c:v>
                </c:pt>
                <c:pt idx="8">
                  <c:v>3064</c:v>
                </c:pt>
                <c:pt idx="9">
                  <c:v>2309</c:v>
                </c:pt>
                <c:pt idx="10">
                  <c:v>3446</c:v>
                </c:pt>
                <c:pt idx="11">
                  <c:v>2081</c:v>
                </c:pt>
                <c:pt idx="12">
                  <c:v>3515.9166666666665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Sheet1!$A$97</c:f>
              <c:strCache>
                <c:ptCount val="1"/>
                <c:pt idx="0">
                  <c:v>Net Revenue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Sheet1!$B$91:$N$91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Sheet1!$B$97:$N$97</c:f>
              <c:numCache>
                <c:ptCount val="13"/>
                <c:pt idx="0">
                  <c:v>3080</c:v>
                </c:pt>
                <c:pt idx="1">
                  <c:v>3315</c:v>
                </c:pt>
                <c:pt idx="2">
                  <c:v>2606</c:v>
                </c:pt>
                <c:pt idx="3">
                  <c:v>1924</c:v>
                </c:pt>
                <c:pt idx="4">
                  <c:v>3028</c:v>
                </c:pt>
                <c:pt idx="5">
                  <c:v>3578</c:v>
                </c:pt>
                <c:pt idx="6">
                  <c:v>2312</c:v>
                </c:pt>
                <c:pt idx="7">
                  <c:v>2801</c:v>
                </c:pt>
                <c:pt idx="8">
                  <c:v>2618</c:v>
                </c:pt>
                <c:pt idx="9">
                  <c:v>4220</c:v>
                </c:pt>
                <c:pt idx="10">
                  <c:v>2967</c:v>
                </c:pt>
                <c:pt idx="11">
                  <c:v>4122</c:v>
                </c:pt>
                <c:pt idx="12">
                  <c:v>3047.5833333333335</c:v>
                </c:pt>
              </c:numCache>
            </c:numRef>
          </c:val>
          <c:smooth val="0"/>
        </c:ser>
        <c:marker val="1"/>
        <c:axId val="27560868"/>
        <c:axId val="46721221"/>
      </c:line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Revenue ($ in 000s)</a:t>
                </a:r>
              </a:p>
            </c:rich>
          </c:tx>
          <c:layout>
            <c:manualLayout>
              <c:xMode val="factor"/>
              <c:yMode val="factor"/>
              <c:x val="-0.05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50625"/>
          <c:w val="0.086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Salaries, Wages &amp; Benefits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Sheet1!$A$107</c:f>
              <c:strCache>
                <c:ptCount val="1"/>
                <c:pt idx="0">
                  <c:v>SWB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Sheet1!$B$107:$N$107</c:f>
              <c:numCache>
                <c:ptCount val="13"/>
                <c:pt idx="0">
                  <c:v>2113</c:v>
                </c:pt>
                <c:pt idx="1">
                  <c:v>1997</c:v>
                </c:pt>
                <c:pt idx="2">
                  <c:v>2227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2112.3333333333335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Sheet1!$A$108</c:f>
              <c:strCache>
                <c:ptCount val="1"/>
                <c:pt idx="0">
                  <c:v>SWB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Sheet1!$B$108:$N$108</c:f>
              <c:numCache>
                <c:ptCount val="13"/>
                <c:pt idx="0">
                  <c:v>1859</c:v>
                </c:pt>
                <c:pt idx="1">
                  <c:v>1956</c:v>
                </c:pt>
                <c:pt idx="2">
                  <c:v>2030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1948.3333333333333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Sheet1!$A$109</c:f>
              <c:strCache>
                <c:ptCount val="1"/>
                <c:pt idx="0">
                  <c:v>SWB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Sheet1!$B$109:$N$109</c:f>
              <c:numCache>
                <c:ptCount val="13"/>
                <c:pt idx="0">
                  <c:v>1792</c:v>
                </c:pt>
                <c:pt idx="1">
                  <c:v>1887</c:v>
                </c:pt>
                <c:pt idx="2">
                  <c:v>1972</c:v>
                </c:pt>
                <c:pt idx="3">
                  <c:v>2387</c:v>
                </c:pt>
                <c:pt idx="4">
                  <c:v>1679</c:v>
                </c:pt>
                <c:pt idx="5">
                  <c:v>2017</c:v>
                </c:pt>
                <c:pt idx="6">
                  <c:v>2062</c:v>
                </c:pt>
                <c:pt idx="7">
                  <c:v>2337</c:v>
                </c:pt>
                <c:pt idx="8">
                  <c:v>2022</c:v>
                </c:pt>
                <c:pt idx="9">
                  <c:v>2261</c:v>
                </c:pt>
                <c:pt idx="10">
                  <c:v>2148</c:v>
                </c:pt>
                <c:pt idx="11">
                  <c:v>2583</c:v>
                </c:pt>
                <c:pt idx="12">
                  <c:v>2095.5833333333335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Sheet1!$A$110</c:f>
              <c:strCache>
                <c:ptCount val="1"/>
                <c:pt idx="0">
                  <c:v>SWB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Sheet1!$B$110:$N$110</c:f>
              <c:numCache>
                <c:ptCount val="13"/>
                <c:pt idx="0">
                  <c:v>1756</c:v>
                </c:pt>
                <c:pt idx="1">
                  <c:v>1754</c:v>
                </c:pt>
                <c:pt idx="2">
                  <c:v>1832</c:v>
                </c:pt>
                <c:pt idx="3">
                  <c:v>1738</c:v>
                </c:pt>
                <c:pt idx="4">
                  <c:v>1884</c:v>
                </c:pt>
                <c:pt idx="5">
                  <c:v>1726</c:v>
                </c:pt>
                <c:pt idx="6">
                  <c:v>1861</c:v>
                </c:pt>
                <c:pt idx="7">
                  <c:v>2073</c:v>
                </c:pt>
                <c:pt idx="8">
                  <c:v>2001</c:v>
                </c:pt>
                <c:pt idx="9">
                  <c:v>2154</c:v>
                </c:pt>
                <c:pt idx="10">
                  <c:v>2438</c:v>
                </c:pt>
                <c:pt idx="11">
                  <c:v>2131</c:v>
                </c:pt>
                <c:pt idx="12">
                  <c:v>1945.6666666666667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Sheet1!$A$111</c:f>
              <c:strCache>
                <c:ptCount val="1"/>
                <c:pt idx="0">
                  <c:v>SWB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Sheet1!$B$111:$N$111</c:f>
              <c:numCache>
                <c:ptCount val="13"/>
                <c:pt idx="0">
                  <c:v>1581</c:v>
                </c:pt>
                <c:pt idx="1">
                  <c:v>1847</c:v>
                </c:pt>
                <c:pt idx="2">
                  <c:v>1695</c:v>
                </c:pt>
                <c:pt idx="3">
                  <c:v>1646</c:v>
                </c:pt>
                <c:pt idx="4">
                  <c:v>1999</c:v>
                </c:pt>
                <c:pt idx="5">
                  <c:v>1734</c:v>
                </c:pt>
                <c:pt idx="6">
                  <c:v>1701</c:v>
                </c:pt>
                <c:pt idx="7">
                  <c:v>1623</c:v>
                </c:pt>
                <c:pt idx="8">
                  <c:v>1607</c:v>
                </c:pt>
                <c:pt idx="9">
                  <c:v>1869</c:v>
                </c:pt>
                <c:pt idx="10">
                  <c:v>1776</c:v>
                </c:pt>
                <c:pt idx="11">
                  <c:v>2457</c:v>
                </c:pt>
                <c:pt idx="12">
                  <c:v>1794.5833333333333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Sheet1!$A$112</c:f>
              <c:strCache>
                <c:ptCount val="1"/>
                <c:pt idx="0">
                  <c:v>SWB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Sheet1!$B$106:$N$106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Sheet1!$B$112:$N$112</c:f>
              <c:numCache>
                <c:ptCount val="13"/>
                <c:pt idx="0">
                  <c:v>1476</c:v>
                </c:pt>
                <c:pt idx="1">
                  <c:v>1444</c:v>
                </c:pt>
                <c:pt idx="2">
                  <c:v>1405</c:v>
                </c:pt>
                <c:pt idx="3">
                  <c:v>1761</c:v>
                </c:pt>
                <c:pt idx="4">
                  <c:v>1808</c:v>
                </c:pt>
                <c:pt idx="5">
                  <c:v>1284</c:v>
                </c:pt>
                <c:pt idx="6">
                  <c:v>1728</c:v>
                </c:pt>
                <c:pt idx="7">
                  <c:v>2044</c:v>
                </c:pt>
                <c:pt idx="8">
                  <c:v>1812</c:v>
                </c:pt>
                <c:pt idx="9">
                  <c:v>1177</c:v>
                </c:pt>
                <c:pt idx="10">
                  <c:v>1362</c:v>
                </c:pt>
                <c:pt idx="11">
                  <c:v>1627</c:v>
                </c:pt>
                <c:pt idx="12">
                  <c:v>1577.3333333333333</c:v>
                </c:pt>
              </c:numCache>
            </c:numRef>
          </c:val>
          <c:smooth val="0"/>
        </c:ser>
        <c:marker val="1"/>
        <c:axId val="17837806"/>
        <c:axId val="26322527"/>
      </c:line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  <c:max val="2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Salaries, Wages &amp; Benefits($ in 000s)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26575"/>
          <c:w val="0.071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Supply Expense ($ in 000s)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Sheet1!$A$122</c:f>
              <c:strCache>
                <c:ptCount val="1"/>
                <c:pt idx="0">
                  <c:v>Supplies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Sheet1!$B$122:$N$122</c:f>
              <c:numCache>
                <c:ptCount val="13"/>
                <c:pt idx="0">
                  <c:v>322</c:v>
                </c:pt>
                <c:pt idx="1">
                  <c:v>297</c:v>
                </c:pt>
                <c:pt idx="2">
                  <c:v>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Sheet1!$A$123</c:f>
              <c:strCache>
                <c:ptCount val="1"/>
                <c:pt idx="0">
                  <c:v>Supplies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Sheet1!$B$123:$N$123</c:f>
              <c:numCache>
                <c:ptCount val="13"/>
                <c:pt idx="0">
                  <c:v>121</c:v>
                </c:pt>
                <c:pt idx="1">
                  <c:v>176</c:v>
                </c:pt>
                <c:pt idx="2">
                  <c:v>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209.33333333333334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Sheet1!$A$124</c:f>
              <c:strCache>
                <c:ptCount val="1"/>
                <c:pt idx="0">
                  <c:v>Supplies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Sheet1!$B$124:$N$124</c:f>
              <c:numCache>
                <c:ptCount val="13"/>
                <c:pt idx="0">
                  <c:v>81</c:v>
                </c:pt>
                <c:pt idx="1">
                  <c:v>135</c:v>
                </c:pt>
                <c:pt idx="2">
                  <c:v>285</c:v>
                </c:pt>
                <c:pt idx="3">
                  <c:v>179</c:v>
                </c:pt>
                <c:pt idx="4">
                  <c:v>-5</c:v>
                </c:pt>
                <c:pt idx="5">
                  <c:v>134</c:v>
                </c:pt>
                <c:pt idx="6">
                  <c:v>120</c:v>
                </c:pt>
                <c:pt idx="7">
                  <c:v>77</c:v>
                </c:pt>
                <c:pt idx="8">
                  <c:v>226</c:v>
                </c:pt>
                <c:pt idx="9">
                  <c:v>302</c:v>
                </c:pt>
                <c:pt idx="10">
                  <c:v>381</c:v>
                </c:pt>
                <c:pt idx="11">
                  <c:v>398</c:v>
                </c:pt>
                <c:pt idx="12">
                  <c:v>192.75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Sheet1!$A$125</c:f>
              <c:strCache>
                <c:ptCount val="1"/>
                <c:pt idx="0">
                  <c:v>Supplies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Sheet1!$B$125:$N$125</c:f>
              <c:numCache>
                <c:ptCount val="13"/>
                <c:pt idx="0">
                  <c:v>148</c:v>
                </c:pt>
                <c:pt idx="1">
                  <c:v>133</c:v>
                </c:pt>
                <c:pt idx="2">
                  <c:v>-59</c:v>
                </c:pt>
                <c:pt idx="3">
                  <c:v>15</c:v>
                </c:pt>
                <c:pt idx="4">
                  <c:v>-62</c:v>
                </c:pt>
                <c:pt idx="5">
                  <c:v>-40</c:v>
                </c:pt>
                <c:pt idx="6">
                  <c:v>-32</c:v>
                </c:pt>
                <c:pt idx="7">
                  <c:v>161</c:v>
                </c:pt>
                <c:pt idx="8">
                  <c:v>195</c:v>
                </c:pt>
                <c:pt idx="9">
                  <c:v>146</c:v>
                </c:pt>
                <c:pt idx="10">
                  <c:v>207</c:v>
                </c:pt>
                <c:pt idx="11">
                  <c:v>163</c:v>
                </c:pt>
                <c:pt idx="12">
                  <c:v>81.25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Sheet1!$A$126</c:f>
              <c:strCache>
                <c:ptCount val="1"/>
                <c:pt idx="0">
                  <c:v>Supplies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Sheet1!$B$126:$N$126</c:f>
              <c:numCache>
                <c:ptCount val="13"/>
                <c:pt idx="0">
                  <c:v>335</c:v>
                </c:pt>
                <c:pt idx="1">
                  <c:v>316</c:v>
                </c:pt>
                <c:pt idx="2">
                  <c:v>248</c:v>
                </c:pt>
                <c:pt idx="3">
                  <c:v>318</c:v>
                </c:pt>
                <c:pt idx="4">
                  <c:v>226</c:v>
                </c:pt>
                <c:pt idx="5">
                  <c:v>335</c:v>
                </c:pt>
                <c:pt idx="6">
                  <c:v>209</c:v>
                </c:pt>
                <c:pt idx="7">
                  <c:v>258</c:v>
                </c:pt>
                <c:pt idx="8">
                  <c:v>209</c:v>
                </c:pt>
                <c:pt idx="9">
                  <c:v>178</c:v>
                </c:pt>
                <c:pt idx="10">
                  <c:v>80</c:v>
                </c:pt>
                <c:pt idx="11">
                  <c:v>-96</c:v>
                </c:pt>
                <c:pt idx="12">
                  <c:v>218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Sheet1!$A$127</c:f>
              <c:strCache>
                <c:ptCount val="1"/>
                <c:pt idx="0">
                  <c:v>Supplies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Sheet1!$B$121:$N$121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Sheet1!$B$127:$N$127</c:f>
              <c:numCache>
                <c:ptCount val="13"/>
                <c:pt idx="0">
                  <c:v>149</c:v>
                </c:pt>
                <c:pt idx="1">
                  <c:v>196</c:v>
                </c:pt>
                <c:pt idx="2">
                  <c:v>365</c:v>
                </c:pt>
                <c:pt idx="3">
                  <c:v>140</c:v>
                </c:pt>
                <c:pt idx="4">
                  <c:v>278</c:v>
                </c:pt>
                <c:pt idx="5">
                  <c:v>345</c:v>
                </c:pt>
                <c:pt idx="6">
                  <c:v>296</c:v>
                </c:pt>
                <c:pt idx="7">
                  <c:v>374</c:v>
                </c:pt>
                <c:pt idx="8">
                  <c:v>234</c:v>
                </c:pt>
                <c:pt idx="9">
                  <c:v>382</c:v>
                </c:pt>
                <c:pt idx="10">
                  <c:v>38</c:v>
                </c:pt>
                <c:pt idx="11">
                  <c:v>567</c:v>
                </c:pt>
                <c:pt idx="12">
                  <c:v>280.3333333333333</c:v>
                </c:pt>
              </c:numCache>
            </c:numRef>
          </c:val>
          <c:smooth val="0"/>
        </c:ser>
        <c:marker val="1"/>
        <c:axId val="35576152"/>
        <c:axId val="51749913"/>
      </c:lineChart>
      <c:cat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  <c:max val="8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Expense ($ in 000s)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6152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6575"/>
          <c:w val="0.078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Bad Debt Expense ($ in 000s)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77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Sheet1!$A$137</c:f>
              <c:strCache>
                <c:ptCount val="1"/>
                <c:pt idx="0">
                  <c:v>Bad Debts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Sheet1!$B$137:$N$137</c:f>
              <c:numCache>
                <c:ptCount val="13"/>
                <c:pt idx="0">
                  <c:v>347</c:v>
                </c:pt>
                <c:pt idx="1">
                  <c:v>227</c:v>
                </c:pt>
                <c:pt idx="2">
                  <c:v>470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Sheet1!$A$138</c:f>
              <c:strCache>
                <c:ptCount val="1"/>
                <c:pt idx="0">
                  <c:v> Bad Debts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Sheet1!$B$138:$N$138</c:f>
              <c:numCache>
                <c:ptCount val="13"/>
                <c:pt idx="0">
                  <c:v>278</c:v>
                </c:pt>
                <c:pt idx="1">
                  <c:v>440</c:v>
                </c:pt>
                <c:pt idx="2">
                  <c:v>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Sheet1!$A$139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Sheet1!$B$139:$N$139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329</c:v>
                </c:pt>
                <c:pt idx="3">
                  <c:v>-27</c:v>
                </c:pt>
                <c:pt idx="4">
                  <c:v>504</c:v>
                </c:pt>
                <c:pt idx="5">
                  <c:v>422</c:v>
                </c:pt>
                <c:pt idx="6">
                  <c:v>476</c:v>
                </c:pt>
                <c:pt idx="7">
                  <c:v>154</c:v>
                </c:pt>
                <c:pt idx="8">
                  <c:v>367</c:v>
                </c:pt>
                <c:pt idx="9">
                  <c:v>405</c:v>
                </c:pt>
                <c:pt idx="10">
                  <c:v>185</c:v>
                </c:pt>
                <c:pt idx="11">
                  <c:v>-583</c:v>
                </c:pt>
                <c:pt idx="12">
                  <c:v>245.66666666666666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Sheet1!$A$140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Sheet1!$B$140:$N$140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Sheet1!$A$141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Sheet1!$B$141:$N$141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Sheet1!$A$142</c:f>
              <c:strCache>
                <c:ptCount val="1"/>
                <c:pt idx="0">
                  <c:v>Bad Debts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Sheet1!$B$136:$N$136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Sheet1!$B$142:$N$142</c:f>
              <c:numCache>
                <c:ptCount val="13"/>
                <c:pt idx="0">
                  <c:v>149</c:v>
                </c:pt>
                <c:pt idx="1">
                  <c:v>442</c:v>
                </c:pt>
                <c:pt idx="2">
                  <c:v>-321</c:v>
                </c:pt>
                <c:pt idx="3">
                  <c:v>174</c:v>
                </c:pt>
                <c:pt idx="4">
                  <c:v>241</c:v>
                </c:pt>
                <c:pt idx="5">
                  <c:v>674</c:v>
                </c:pt>
                <c:pt idx="6">
                  <c:v>310</c:v>
                </c:pt>
                <c:pt idx="7">
                  <c:v>708</c:v>
                </c:pt>
                <c:pt idx="8">
                  <c:v>-12</c:v>
                </c:pt>
                <c:pt idx="9">
                  <c:v>1534</c:v>
                </c:pt>
                <c:pt idx="10">
                  <c:v>1393</c:v>
                </c:pt>
                <c:pt idx="11">
                  <c:v>211</c:v>
                </c:pt>
                <c:pt idx="12">
                  <c:v>458.5833333333333</c:v>
                </c:pt>
              </c:numCache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Bad Debt expense ($ in 000s)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495"/>
          <c:w val="0.083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All Other Operating Expense ($ in 000s)</a:t>
            </a:r>
          </a:p>
        </c:rich>
      </c:tx>
      <c:layout>
        <c:manualLayout>
          <c:xMode val="factor"/>
          <c:yMode val="factor"/>
          <c:x val="-0.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9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Sheet1!$A$152</c:f>
              <c:strCache>
                <c:ptCount val="1"/>
                <c:pt idx="0">
                  <c:v>All Other Exp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Sheet1!$B$152:$N$152</c:f>
              <c:numCache>
                <c:ptCount val="13"/>
                <c:pt idx="0">
                  <c:v>1098</c:v>
                </c:pt>
                <c:pt idx="1">
                  <c:v>1297</c:v>
                </c:pt>
                <c:pt idx="2">
                  <c:v>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Sheet1!$A$153</c:f>
              <c:strCache>
                <c:ptCount val="1"/>
                <c:pt idx="0">
                  <c:v>All Other Exp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Sheet1!$B$153:$N$153</c:f>
              <c:numCache>
                <c:ptCount val="13"/>
                <c:pt idx="0">
                  <c:v>899</c:v>
                </c:pt>
                <c:pt idx="1">
                  <c:v>1034</c:v>
                </c:pt>
                <c:pt idx="2">
                  <c:v>1069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1000.6666666666666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Sheet1!$A$154</c:f>
              <c:strCache>
                <c:ptCount val="1"/>
                <c:pt idx="0">
                  <c:v>All Other Exp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Sheet1!$B$154:$N$154</c:f>
              <c:numCache>
                <c:ptCount val="13"/>
                <c:pt idx="0">
                  <c:v>894</c:v>
                </c:pt>
                <c:pt idx="1">
                  <c:v>470</c:v>
                </c:pt>
                <c:pt idx="2">
                  <c:v>199</c:v>
                </c:pt>
                <c:pt idx="3">
                  <c:v>529</c:v>
                </c:pt>
                <c:pt idx="4">
                  <c:v>1060</c:v>
                </c:pt>
                <c:pt idx="5">
                  <c:v>-292</c:v>
                </c:pt>
                <c:pt idx="6">
                  <c:v>586</c:v>
                </c:pt>
                <c:pt idx="7">
                  <c:v>1038</c:v>
                </c:pt>
                <c:pt idx="8">
                  <c:v>1009</c:v>
                </c:pt>
                <c:pt idx="9">
                  <c:v>755</c:v>
                </c:pt>
                <c:pt idx="10">
                  <c:v>1132</c:v>
                </c:pt>
                <c:pt idx="11">
                  <c:v>-1880</c:v>
                </c:pt>
                <c:pt idx="12">
                  <c:v>458.3333333333333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Sheet1!$A$155</c:f>
              <c:strCache>
                <c:ptCount val="1"/>
                <c:pt idx="0">
                  <c:v>All Other Exp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Sheet1!$B$155:$N$155</c:f>
              <c:numCache>
                <c:ptCount val="13"/>
                <c:pt idx="0">
                  <c:v>779</c:v>
                </c:pt>
                <c:pt idx="1">
                  <c:v>718</c:v>
                </c:pt>
                <c:pt idx="2">
                  <c:v>800</c:v>
                </c:pt>
                <c:pt idx="3">
                  <c:v>848</c:v>
                </c:pt>
                <c:pt idx="4">
                  <c:v>748</c:v>
                </c:pt>
                <c:pt idx="5">
                  <c:v>783</c:v>
                </c:pt>
                <c:pt idx="6">
                  <c:v>871</c:v>
                </c:pt>
                <c:pt idx="7">
                  <c:v>929</c:v>
                </c:pt>
                <c:pt idx="8">
                  <c:v>999</c:v>
                </c:pt>
                <c:pt idx="9">
                  <c:v>892</c:v>
                </c:pt>
                <c:pt idx="10">
                  <c:v>879</c:v>
                </c:pt>
                <c:pt idx="11">
                  <c:v>848</c:v>
                </c:pt>
                <c:pt idx="12">
                  <c:v>841.1666666666666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Sheet1!$A$156</c:f>
              <c:strCache>
                <c:ptCount val="1"/>
                <c:pt idx="0">
                  <c:v>All Other Exp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Sheet1!$B$156:$N$156</c:f>
              <c:numCache>
                <c:ptCount val="13"/>
                <c:pt idx="0">
                  <c:v>1597</c:v>
                </c:pt>
                <c:pt idx="1">
                  <c:v>1090</c:v>
                </c:pt>
                <c:pt idx="2">
                  <c:v>1206</c:v>
                </c:pt>
                <c:pt idx="3">
                  <c:v>1268</c:v>
                </c:pt>
                <c:pt idx="4">
                  <c:v>1312</c:v>
                </c:pt>
                <c:pt idx="5">
                  <c:v>1206</c:v>
                </c:pt>
                <c:pt idx="6">
                  <c:v>1183</c:v>
                </c:pt>
                <c:pt idx="7">
                  <c:v>1009</c:v>
                </c:pt>
                <c:pt idx="8">
                  <c:v>971</c:v>
                </c:pt>
                <c:pt idx="9">
                  <c:v>1092</c:v>
                </c:pt>
                <c:pt idx="10">
                  <c:v>974</c:v>
                </c:pt>
                <c:pt idx="11">
                  <c:v>1227</c:v>
                </c:pt>
                <c:pt idx="12">
                  <c:v>1177.9166666666667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Sheet1!$A$157</c:f>
              <c:strCache>
                <c:ptCount val="1"/>
                <c:pt idx="0">
                  <c:v>All Other Exp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Sheet1!$B$151:$N$151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Sheet1!$B$157:$N$157</c:f>
              <c:numCache>
                <c:ptCount val="13"/>
                <c:pt idx="0">
                  <c:v>1557</c:v>
                </c:pt>
                <c:pt idx="1">
                  <c:v>1331</c:v>
                </c:pt>
                <c:pt idx="2">
                  <c:v>1270</c:v>
                </c:pt>
                <c:pt idx="3">
                  <c:v>1059</c:v>
                </c:pt>
                <c:pt idx="4">
                  <c:v>994</c:v>
                </c:pt>
                <c:pt idx="5">
                  <c:v>1397</c:v>
                </c:pt>
                <c:pt idx="6">
                  <c:v>1280</c:v>
                </c:pt>
                <c:pt idx="7">
                  <c:v>1227</c:v>
                </c:pt>
                <c:pt idx="8">
                  <c:v>1150</c:v>
                </c:pt>
                <c:pt idx="9">
                  <c:v>932</c:v>
                </c:pt>
                <c:pt idx="10">
                  <c:v>1333</c:v>
                </c:pt>
                <c:pt idx="11">
                  <c:v>1593</c:v>
                </c:pt>
                <c:pt idx="12">
                  <c:v>1260.25</c:v>
                </c:pt>
              </c:numCache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Other Operating Expense ($ in 000s)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51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26575"/>
          <c:w val="0.088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Income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6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Net Income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Sheet1!$B$167:$N$167</c:f>
              <c:numCache>
                <c:ptCount val="13"/>
                <c:pt idx="0">
                  <c:v>206</c:v>
                </c:pt>
                <c:pt idx="1">
                  <c:v>-467</c:v>
                </c:pt>
                <c:pt idx="2">
                  <c:v>352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Sheet1!$A$168</c:f>
              <c:strCache>
                <c:ptCount val="1"/>
                <c:pt idx="0">
                  <c:v>Net Income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Sheet1!$B$168:$N$168</c:f>
              <c:numCache>
                <c:ptCount val="13"/>
                <c:pt idx="0">
                  <c:v>795</c:v>
                </c:pt>
                <c:pt idx="1">
                  <c:v>468</c:v>
                </c:pt>
                <c:pt idx="2">
                  <c:v>-815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149.33333333333334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Sheet1!$A$169</c:f>
              <c:strCache>
                <c:ptCount val="1"/>
                <c:pt idx="0">
                  <c:v>Net Income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Sheet1!$B$169:$N$169</c:f>
              <c:numCache>
                <c:ptCount val="13"/>
                <c:pt idx="0">
                  <c:v>241</c:v>
                </c:pt>
                <c:pt idx="1">
                  <c:v>111</c:v>
                </c:pt>
                <c:pt idx="2">
                  <c:v>-967</c:v>
                </c:pt>
                <c:pt idx="3">
                  <c:v>-3090</c:v>
                </c:pt>
                <c:pt idx="4">
                  <c:v>-282</c:v>
                </c:pt>
                <c:pt idx="5">
                  <c:v>163</c:v>
                </c:pt>
                <c:pt idx="6">
                  <c:v>183</c:v>
                </c:pt>
                <c:pt idx="7">
                  <c:v>2733</c:v>
                </c:pt>
                <c:pt idx="8">
                  <c:v>1264</c:v>
                </c:pt>
                <c:pt idx="9">
                  <c:v>636</c:v>
                </c:pt>
                <c:pt idx="10">
                  <c:v>33</c:v>
                </c:pt>
                <c:pt idx="11">
                  <c:v>490</c:v>
                </c:pt>
                <c:pt idx="12">
                  <c:v>126.25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Sheet1!$A$170</c:f>
              <c:strCache>
                <c:ptCount val="1"/>
                <c:pt idx="0">
                  <c:v>Net Income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Sheet1!$B$170:$N$170</c:f>
              <c:numCache>
                <c:ptCount val="13"/>
                <c:pt idx="0">
                  <c:v>162</c:v>
                </c:pt>
                <c:pt idx="1">
                  <c:v>97</c:v>
                </c:pt>
                <c:pt idx="2">
                  <c:v>281</c:v>
                </c:pt>
                <c:pt idx="3">
                  <c:v>283</c:v>
                </c:pt>
                <c:pt idx="4">
                  <c:v>91</c:v>
                </c:pt>
                <c:pt idx="5">
                  <c:v>91</c:v>
                </c:pt>
                <c:pt idx="6">
                  <c:v>259</c:v>
                </c:pt>
                <c:pt idx="7">
                  <c:v>65</c:v>
                </c:pt>
                <c:pt idx="8">
                  <c:v>104</c:v>
                </c:pt>
                <c:pt idx="9">
                  <c:v>63</c:v>
                </c:pt>
                <c:pt idx="10">
                  <c:v>17</c:v>
                </c:pt>
                <c:pt idx="11">
                  <c:v>13</c:v>
                </c:pt>
                <c:pt idx="12">
                  <c:v>127.16666666666667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Sheet1!$A$171</c:f>
              <c:strCache>
                <c:ptCount val="1"/>
                <c:pt idx="0">
                  <c:v>Net Income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Sheet1!$B$171:$N$171</c:f>
              <c:numCache>
                <c:ptCount val="13"/>
                <c:pt idx="0">
                  <c:v>1579</c:v>
                </c:pt>
                <c:pt idx="1">
                  <c:v>971</c:v>
                </c:pt>
                <c:pt idx="2">
                  <c:v>473</c:v>
                </c:pt>
                <c:pt idx="3">
                  <c:v>191</c:v>
                </c:pt>
                <c:pt idx="4">
                  <c:v>96</c:v>
                </c:pt>
                <c:pt idx="5">
                  <c:v>448</c:v>
                </c:pt>
                <c:pt idx="6">
                  <c:v>-867</c:v>
                </c:pt>
                <c:pt idx="7">
                  <c:v>81</c:v>
                </c:pt>
                <c:pt idx="8">
                  <c:v>40</c:v>
                </c:pt>
                <c:pt idx="9">
                  <c:v>-755</c:v>
                </c:pt>
                <c:pt idx="10">
                  <c:v>-1068</c:v>
                </c:pt>
                <c:pt idx="11">
                  <c:v>-554</c:v>
                </c:pt>
                <c:pt idx="12">
                  <c:v>52.916666666666664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Sheet1!$A$172</c:f>
              <c:strCache>
                <c:ptCount val="1"/>
                <c:pt idx="0">
                  <c:v>Net Income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Sheet1!$B$166:$N$166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Sheet1!$B$172:$N$172</c:f>
              <c:numCache>
                <c:ptCount val="13"/>
                <c:pt idx="0">
                  <c:v>177</c:v>
                </c:pt>
                <c:pt idx="1">
                  <c:v>285</c:v>
                </c:pt>
                <c:pt idx="2">
                  <c:v>254</c:v>
                </c:pt>
                <c:pt idx="3">
                  <c:v>-823</c:v>
                </c:pt>
                <c:pt idx="4">
                  <c:v>82</c:v>
                </c:pt>
                <c:pt idx="5">
                  <c:v>178</c:v>
                </c:pt>
                <c:pt idx="6">
                  <c:v>-974</c:v>
                </c:pt>
                <c:pt idx="7">
                  <c:v>-1420</c:v>
                </c:pt>
                <c:pt idx="8">
                  <c:v>-579</c:v>
                </c:pt>
                <c:pt idx="9">
                  <c:v>258</c:v>
                </c:pt>
                <c:pt idx="10">
                  <c:v>-535</c:v>
                </c:pt>
                <c:pt idx="11">
                  <c:v>213</c:v>
                </c:pt>
                <c:pt idx="12">
                  <c:v>-240.33333333333334</c:v>
                </c:pt>
              </c:numCache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  <c:max val="5000"/>
          <c:min val="-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Income ($ in 000s)</a:t>
                </a:r>
              </a:p>
            </c:rich>
          </c:tx>
          <c:layout>
            <c:manualLayout>
              <c:xMode val="factor"/>
              <c:yMode val="factor"/>
              <c:x val="-0.05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67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26575"/>
          <c:w val="0.083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FTEs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Sheet1!$A$182</c:f>
              <c:strCache>
                <c:ptCount val="1"/>
                <c:pt idx="0">
                  <c:v>FTEs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Sheet1!$B$182:$N$182</c:f>
              <c:numCache>
                <c:ptCount val="13"/>
                <c:pt idx="0">
                  <c:v>287.44</c:v>
                </c:pt>
                <c:pt idx="1">
                  <c:v>298.21</c:v>
                </c:pt>
                <c:pt idx="2">
                  <c:v>297.66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294.43666666666667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Sheet1!$A$183</c:f>
              <c:strCache>
                <c:ptCount val="1"/>
                <c:pt idx="0">
                  <c:v>FTEs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Sheet1!$B$183:$N$183</c:f>
              <c:numCache>
                <c:ptCount val="13"/>
                <c:pt idx="0">
                  <c:v>278.56</c:v>
                </c:pt>
                <c:pt idx="1">
                  <c:v>260.08</c:v>
                </c:pt>
                <c:pt idx="2">
                  <c:v>270.84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269.82666666666665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Sheet1!$A$184</c:f>
              <c:strCache>
                <c:ptCount val="1"/>
                <c:pt idx="0">
                  <c:v>FTEs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Sheet1!$B$184:$N$184</c:f>
              <c:numCache>
                <c:ptCount val="13"/>
                <c:pt idx="0">
                  <c:v>286.4</c:v>
                </c:pt>
                <c:pt idx="1">
                  <c:v>267.89</c:v>
                </c:pt>
                <c:pt idx="2">
                  <c:v>279</c:v>
                </c:pt>
                <c:pt idx="3">
                  <c:v>302.72</c:v>
                </c:pt>
                <c:pt idx="4">
                  <c:v>273.25</c:v>
                </c:pt>
                <c:pt idx="5">
                  <c:v>272</c:v>
                </c:pt>
                <c:pt idx="6">
                  <c:v>276.27</c:v>
                </c:pt>
                <c:pt idx="7">
                  <c:v>288.16</c:v>
                </c:pt>
                <c:pt idx="8">
                  <c:v>277.07</c:v>
                </c:pt>
                <c:pt idx="9">
                  <c:v>298.77</c:v>
                </c:pt>
                <c:pt idx="10">
                  <c:v>315.96</c:v>
                </c:pt>
                <c:pt idx="11">
                  <c:v>296.38</c:v>
                </c:pt>
                <c:pt idx="12">
                  <c:v>286.15583333333336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Sheet1!$A$185</c:f>
              <c:strCache>
                <c:ptCount val="1"/>
                <c:pt idx="0">
                  <c:v>FTEs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Sheet1!$B$185:$N$185</c:f>
              <c:numCache>
                <c:ptCount val="13"/>
                <c:pt idx="0">
                  <c:v>249.38</c:v>
                </c:pt>
                <c:pt idx="1">
                  <c:v>245.13</c:v>
                </c:pt>
                <c:pt idx="2">
                  <c:v>283.45</c:v>
                </c:pt>
                <c:pt idx="3">
                  <c:v>262.65</c:v>
                </c:pt>
                <c:pt idx="4">
                  <c:v>262.3</c:v>
                </c:pt>
                <c:pt idx="5">
                  <c:v>266.76</c:v>
                </c:pt>
                <c:pt idx="6">
                  <c:v>265.24</c:v>
                </c:pt>
                <c:pt idx="7">
                  <c:v>271.53</c:v>
                </c:pt>
                <c:pt idx="8">
                  <c:v>273</c:v>
                </c:pt>
                <c:pt idx="9">
                  <c:v>278.54</c:v>
                </c:pt>
                <c:pt idx="10">
                  <c:v>309.76</c:v>
                </c:pt>
                <c:pt idx="11">
                  <c:v>275.74</c:v>
                </c:pt>
                <c:pt idx="12">
                  <c:v>270.28999999999996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Sheet1!$A$186</c:f>
              <c:strCache>
                <c:ptCount val="1"/>
                <c:pt idx="0">
                  <c:v>FTEs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Sheet1!$B$186:$N$186</c:f>
              <c:numCache>
                <c:ptCount val="13"/>
                <c:pt idx="0">
                  <c:v>222.53</c:v>
                </c:pt>
                <c:pt idx="1">
                  <c:v>264</c:v>
                </c:pt>
                <c:pt idx="2">
                  <c:v>240.79</c:v>
                </c:pt>
                <c:pt idx="3">
                  <c:v>253</c:v>
                </c:pt>
                <c:pt idx="4">
                  <c:v>250.72</c:v>
                </c:pt>
                <c:pt idx="5">
                  <c:v>258.68</c:v>
                </c:pt>
                <c:pt idx="6">
                  <c:v>262.46</c:v>
                </c:pt>
                <c:pt idx="7">
                  <c:v>223.76</c:v>
                </c:pt>
                <c:pt idx="8">
                  <c:v>268</c:v>
                </c:pt>
                <c:pt idx="9">
                  <c:v>259.74</c:v>
                </c:pt>
                <c:pt idx="10">
                  <c:v>272.52</c:v>
                </c:pt>
                <c:pt idx="11">
                  <c:v>260.77</c:v>
                </c:pt>
                <c:pt idx="12">
                  <c:v>253.08083333333335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Sheet1!$A$187</c:f>
              <c:strCache>
                <c:ptCount val="1"/>
                <c:pt idx="0">
                  <c:v>FTEs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Sheet1!$B$181:$N$181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Sheet1!$B$187:$N$187</c:f>
              <c:numCache>
                <c:ptCount val="13"/>
                <c:pt idx="0">
                  <c:v>227.48</c:v>
                </c:pt>
                <c:pt idx="1">
                  <c:v>232.4</c:v>
                </c:pt>
                <c:pt idx="2">
                  <c:v>230</c:v>
                </c:pt>
                <c:pt idx="3">
                  <c:v>247.55</c:v>
                </c:pt>
                <c:pt idx="4">
                  <c:v>268.31</c:v>
                </c:pt>
                <c:pt idx="5">
                  <c:v>253.64</c:v>
                </c:pt>
                <c:pt idx="6">
                  <c:v>264.44</c:v>
                </c:pt>
                <c:pt idx="7">
                  <c:v>253.32</c:v>
                </c:pt>
                <c:pt idx="8">
                  <c:v>261</c:v>
                </c:pt>
                <c:pt idx="9">
                  <c:v>229.62</c:v>
                </c:pt>
                <c:pt idx="10">
                  <c:v>264.61</c:v>
                </c:pt>
                <c:pt idx="11">
                  <c:v>253.08</c:v>
                </c:pt>
                <c:pt idx="12">
                  <c:v>248.78750000000002</c:v>
                </c:pt>
              </c:numCache>
            </c:numRef>
          </c:val>
          <c:smooth val="0"/>
        </c:ser>
        <c:marker val="1"/>
        <c:axId val="3158592"/>
        <c:axId val="28427329"/>
      </c:line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  <c:max val="3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592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26575"/>
          <c:w val="0.1117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Cash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84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Sheet1!$A$310</c:f>
              <c:strCache>
                <c:ptCount val="1"/>
                <c:pt idx="0">
                  <c:v>Cash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Sheet1!$B$309:$N$309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Sheet1!$B$310:$N$310</c:f>
              <c:numCache>
                <c:ptCount val="13"/>
                <c:pt idx="0">
                  <c:v>12544</c:v>
                </c:pt>
                <c:pt idx="1">
                  <c:v>12320</c:v>
                </c:pt>
                <c:pt idx="2">
                  <c:v>12751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12538.333333333334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Sheet1!$A$311</c:f>
              <c:strCache>
                <c:ptCount val="1"/>
                <c:pt idx="0">
                  <c:v>Cash - 20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Sheet1!$B$309:$N$309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Sheet1!$B$311:$N$311</c:f>
              <c:numCache>
                <c:ptCount val="13"/>
                <c:pt idx="0">
                  <c:v>3843</c:v>
                </c:pt>
                <c:pt idx="1">
                  <c:v>4004</c:v>
                </c:pt>
                <c:pt idx="2">
                  <c:v>4070</c:v>
                </c:pt>
                <c:pt idx="3">
                  <c:v>12391</c:v>
                </c:pt>
                <c:pt idx="4">
                  <c:v>16159</c:v>
                </c:pt>
                <c:pt idx="5">
                  <c:v>17827</c:v>
                </c:pt>
                <c:pt idx="6">
                  <c:v>16989</c:v>
                </c:pt>
                <c:pt idx="7">
                  <c:v>14713</c:v>
                </c:pt>
                <c:pt idx="8">
                  <c:v>13629</c:v>
                </c:pt>
                <c:pt idx="9">
                  <c:v>12243</c:v>
                </c:pt>
                <c:pt idx="10">
                  <c:v>13503</c:v>
                </c:pt>
                <c:pt idx="11">
                  <c:v>13959</c:v>
                </c:pt>
                <c:pt idx="12">
                  <c:v>11944.166666666666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Sheet1!$A$312</c:f>
              <c:strCache>
                <c:ptCount val="1"/>
                <c:pt idx="0">
                  <c:v>Cash - 19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Sheet1!$B$309:$N$309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Sheet1!$B$312:$N$312</c:f>
              <c:numCache>
                <c:ptCount val="13"/>
                <c:pt idx="0">
                  <c:v>3908</c:v>
                </c:pt>
                <c:pt idx="1">
                  <c:v>5149</c:v>
                </c:pt>
                <c:pt idx="2">
                  <c:v>3601</c:v>
                </c:pt>
                <c:pt idx="3">
                  <c:v>4131</c:v>
                </c:pt>
                <c:pt idx="4">
                  <c:v>3434</c:v>
                </c:pt>
                <c:pt idx="5">
                  <c:v>3499</c:v>
                </c:pt>
                <c:pt idx="6">
                  <c:v>2757</c:v>
                </c:pt>
                <c:pt idx="7">
                  <c:v>1744</c:v>
                </c:pt>
                <c:pt idx="8">
                  <c:v>3145</c:v>
                </c:pt>
                <c:pt idx="9">
                  <c:v>4663</c:v>
                </c:pt>
                <c:pt idx="10">
                  <c:v>5682</c:v>
                </c:pt>
                <c:pt idx="11">
                  <c:v>4902</c:v>
                </c:pt>
                <c:pt idx="12">
                  <c:v>3884.5833333333335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Sheet1!$A$313</c:f>
              <c:strCache>
                <c:ptCount val="1"/>
                <c:pt idx="0">
                  <c:v>Cash - 18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Sheet1!$B$309:$N$309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Sheet1!$B$313:$N$313</c:f>
              <c:numCache>
                <c:ptCount val="13"/>
                <c:pt idx="0">
                  <c:v>4339</c:v>
                </c:pt>
                <c:pt idx="1">
                  <c:v>4351</c:v>
                </c:pt>
                <c:pt idx="2">
                  <c:v>2522</c:v>
                </c:pt>
                <c:pt idx="3">
                  <c:v>3232</c:v>
                </c:pt>
                <c:pt idx="4">
                  <c:v>3383</c:v>
                </c:pt>
                <c:pt idx="5">
                  <c:v>3466</c:v>
                </c:pt>
                <c:pt idx="6">
                  <c:v>2786</c:v>
                </c:pt>
                <c:pt idx="7">
                  <c:v>1860</c:v>
                </c:pt>
                <c:pt idx="8">
                  <c:v>2140</c:v>
                </c:pt>
                <c:pt idx="9">
                  <c:v>5284</c:v>
                </c:pt>
                <c:pt idx="10">
                  <c:v>5466</c:v>
                </c:pt>
                <c:pt idx="11">
                  <c:v>3763</c:v>
                </c:pt>
                <c:pt idx="12">
                  <c:v>3549.3333333333335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Sheet1!$A$314</c:f>
              <c:strCache>
                <c:ptCount val="1"/>
                <c:pt idx="0">
                  <c:v>Cash - 17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Sheet1!$B$309:$N$309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Sheet1!$B$314:$N$314</c:f>
              <c:numCache>
                <c:ptCount val="13"/>
                <c:pt idx="0">
                  <c:v>6174</c:v>
                </c:pt>
                <c:pt idx="1">
                  <c:v>6893</c:v>
                </c:pt>
                <c:pt idx="2">
                  <c:v>5593</c:v>
                </c:pt>
                <c:pt idx="3">
                  <c:v>4257</c:v>
                </c:pt>
                <c:pt idx="4">
                  <c:v>2924</c:v>
                </c:pt>
                <c:pt idx="5">
                  <c:v>1630</c:v>
                </c:pt>
                <c:pt idx="6">
                  <c:v>629</c:v>
                </c:pt>
                <c:pt idx="7">
                  <c:v>274</c:v>
                </c:pt>
                <c:pt idx="8">
                  <c:v>-151</c:v>
                </c:pt>
                <c:pt idx="9">
                  <c:v>569</c:v>
                </c:pt>
                <c:pt idx="10">
                  <c:v>2513</c:v>
                </c:pt>
                <c:pt idx="11">
                  <c:v>3512</c:v>
                </c:pt>
                <c:pt idx="12">
                  <c:v>2901.4166666666665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 in Thousands(000)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9370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30325"/>
          <c:w val="0.06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Self Pay Rev &amp; Bad Debts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764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Sheet1!$A$285</c:f>
              <c:strCache>
                <c:ptCount val="1"/>
                <c:pt idx="0">
                  <c:v>Bad Debts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Sheet1!$B$285:$N$285</c:f>
              <c:numCache>
                <c:ptCount val="13"/>
                <c:pt idx="0">
                  <c:v>347</c:v>
                </c:pt>
                <c:pt idx="1">
                  <c:v>227</c:v>
                </c:pt>
                <c:pt idx="2">
                  <c:v>470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Sheet1!$A$286</c:f>
              <c:strCache>
                <c:ptCount val="1"/>
                <c:pt idx="0">
                  <c:v>Self Pay Rev - 21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Sheet1!$B$286:$N$286</c:f>
              <c:numCache>
                <c:ptCount val="13"/>
                <c:pt idx="0">
                  <c:v>376</c:v>
                </c:pt>
                <c:pt idx="1">
                  <c:v>437</c:v>
                </c:pt>
                <c:pt idx="2">
                  <c:v>571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461.3333333333333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Sheet1!$A$287</c:f>
              <c:strCache>
                <c:ptCount val="1"/>
                <c:pt idx="0">
                  <c:v>Bad Debts - 21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Sheet1!$B$287:$N$287</c:f>
              <c:numCache>
                <c:ptCount val="13"/>
                <c:pt idx="0">
                  <c:v>278</c:v>
                </c:pt>
                <c:pt idx="1">
                  <c:v>440</c:v>
                </c:pt>
                <c:pt idx="2">
                  <c:v>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87.25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Sheet1!$A$288</c:f>
              <c:strCache>
                <c:ptCount val="1"/>
                <c:pt idx="0">
                  <c:v>Self Pay Rev - 21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Sheet1!$B$288:$N$288</c:f>
              <c:numCache>
                <c:ptCount val="13"/>
                <c:pt idx="0">
                  <c:v>532</c:v>
                </c:pt>
                <c:pt idx="1">
                  <c:v>376</c:v>
                </c:pt>
                <c:pt idx="2">
                  <c:v>500</c:v>
                </c:pt>
                <c:pt idx="3">
                  <c:v>565</c:v>
                </c:pt>
                <c:pt idx="4">
                  <c:v>665</c:v>
                </c:pt>
                <c:pt idx="5">
                  <c:v>500</c:v>
                </c:pt>
                <c:pt idx="6">
                  <c:v>400</c:v>
                </c:pt>
                <c:pt idx="7">
                  <c:v>425</c:v>
                </c:pt>
                <c:pt idx="8">
                  <c:v>603</c:v>
                </c:pt>
                <c:pt idx="9">
                  <c:v>567</c:v>
                </c:pt>
                <c:pt idx="10">
                  <c:v>546</c:v>
                </c:pt>
                <c:pt idx="11">
                  <c:v>574</c:v>
                </c:pt>
                <c:pt idx="12">
                  <c:v>521.0833333333334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Sheet1!$A$289</c:f>
              <c:strCache>
                <c:ptCount val="1"/>
                <c:pt idx="0">
                  <c:v>Bad Debts - 20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Sheet1!$B$289:$N$289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Sheet1!$A$290</c:f>
              <c:strCache>
                <c:ptCount val="1"/>
                <c:pt idx="0">
                  <c:v>Self Pay Rev - 20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Sheet1!$B$290:$N$290</c:f>
              <c:numCache>
                <c:ptCount val="13"/>
                <c:pt idx="0">
                  <c:v>567</c:v>
                </c:pt>
                <c:pt idx="1">
                  <c:v>536</c:v>
                </c:pt>
                <c:pt idx="2">
                  <c:v>476</c:v>
                </c:pt>
                <c:pt idx="3">
                  <c:v>378</c:v>
                </c:pt>
                <c:pt idx="4">
                  <c:v>469</c:v>
                </c:pt>
                <c:pt idx="5">
                  <c:v>428</c:v>
                </c:pt>
                <c:pt idx="6">
                  <c:v>490</c:v>
                </c:pt>
                <c:pt idx="7">
                  <c:v>380</c:v>
                </c:pt>
                <c:pt idx="8">
                  <c:v>416</c:v>
                </c:pt>
                <c:pt idx="9">
                  <c:v>429</c:v>
                </c:pt>
                <c:pt idx="10">
                  <c:v>436</c:v>
                </c:pt>
                <c:pt idx="11">
                  <c:v>396</c:v>
                </c:pt>
                <c:pt idx="12">
                  <c:v>450.0833333333333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Sheet1!$A$291</c:f>
              <c:strCache>
                <c:ptCount val="1"/>
                <c:pt idx="0">
                  <c:v>Bad Debts - 19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Sheet1!$B$291:$N$291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Sheet1!$A$292</c:f>
              <c:strCache>
                <c:ptCount val="1"/>
                <c:pt idx="0">
                  <c:v>Self Pay Rev - 19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Sheet1!$B$292:$N$292</c:f>
              <c:numCache>
                <c:ptCount val="13"/>
                <c:pt idx="0">
                  <c:v>532</c:v>
                </c:pt>
                <c:pt idx="1">
                  <c:v>428</c:v>
                </c:pt>
                <c:pt idx="2">
                  <c:v>534</c:v>
                </c:pt>
                <c:pt idx="3">
                  <c:v>553</c:v>
                </c:pt>
                <c:pt idx="4">
                  <c:v>705</c:v>
                </c:pt>
                <c:pt idx="5">
                  <c:v>316</c:v>
                </c:pt>
                <c:pt idx="6">
                  <c:v>629</c:v>
                </c:pt>
                <c:pt idx="7">
                  <c:v>493</c:v>
                </c:pt>
                <c:pt idx="8">
                  <c:v>623</c:v>
                </c:pt>
                <c:pt idx="9">
                  <c:v>632</c:v>
                </c:pt>
                <c:pt idx="10">
                  <c:v>558</c:v>
                </c:pt>
                <c:pt idx="11">
                  <c:v>592</c:v>
                </c:pt>
                <c:pt idx="12">
                  <c:v>549.5833333333334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Sheet1!$A$293</c:f>
              <c:strCache>
                <c:ptCount val="1"/>
                <c:pt idx="0">
                  <c:v>Bad Debts - 18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Sheet1!$B$293:$N$293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Sheet1!$A$294</c:f>
              <c:strCache>
                <c:ptCount val="1"/>
                <c:pt idx="0">
                  <c:v>Self Pay Rev - 18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Sheet1!$B$294:$N$294</c:f>
              <c:numCache>
                <c:ptCount val="13"/>
                <c:pt idx="0">
                  <c:v>824</c:v>
                </c:pt>
                <c:pt idx="1">
                  <c:v>801</c:v>
                </c:pt>
                <c:pt idx="2">
                  <c:v>896</c:v>
                </c:pt>
                <c:pt idx="3">
                  <c:v>796</c:v>
                </c:pt>
                <c:pt idx="4">
                  <c:v>1036</c:v>
                </c:pt>
                <c:pt idx="5">
                  <c:v>1125</c:v>
                </c:pt>
                <c:pt idx="6">
                  <c:v>906</c:v>
                </c:pt>
                <c:pt idx="7">
                  <c:v>858</c:v>
                </c:pt>
                <c:pt idx="8">
                  <c:v>843</c:v>
                </c:pt>
                <c:pt idx="9">
                  <c:v>617</c:v>
                </c:pt>
                <c:pt idx="10">
                  <c:v>879</c:v>
                </c:pt>
                <c:pt idx="11">
                  <c:v>635</c:v>
                </c:pt>
                <c:pt idx="12">
                  <c:v>851.3333333333334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Sheet1!$A$295</c:f>
              <c:strCache>
                <c:ptCount val="1"/>
                <c:pt idx="0">
                  <c:v>Bad Debts - 17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Sheet1!$B$295:$N$295</c:f>
              <c:numCache>
                <c:ptCount val="13"/>
                <c:pt idx="0">
                  <c:v>298</c:v>
                </c:pt>
                <c:pt idx="1">
                  <c:v>193</c:v>
                </c:pt>
                <c:pt idx="2">
                  <c:v>458</c:v>
                </c:pt>
                <c:pt idx="3">
                  <c:v>258</c:v>
                </c:pt>
                <c:pt idx="4">
                  <c:v>238</c:v>
                </c:pt>
                <c:pt idx="5">
                  <c:v>252</c:v>
                </c:pt>
                <c:pt idx="6">
                  <c:v>131</c:v>
                </c:pt>
                <c:pt idx="7">
                  <c:v>229</c:v>
                </c:pt>
                <c:pt idx="8">
                  <c:v>245</c:v>
                </c:pt>
                <c:pt idx="9">
                  <c:v>380</c:v>
                </c:pt>
                <c:pt idx="10">
                  <c:v>108</c:v>
                </c:pt>
                <c:pt idx="11">
                  <c:v>553</c:v>
                </c:pt>
                <c:pt idx="12">
                  <c:v>278.5833333333333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Sheet1!$A$296</c:f>
              <c:strCache>
                <c:ptCount val="1"/>
                <c:pt idx="0">
                  <c:v>Self Pay Rev - 17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Sheet1!$B$284:$N$284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Sheet1!$B$296:$N$296</c:f>
              <c:numCache>
                <c:ptCount val="13"/>
                <c:pt idx="0">
                  <c:v>795</c:v>
                </c:pt>
                <c:pt idx="1">
                  <c:v>745</c:v>
                </c:pt>
                <c:pt idx="2">
                  <c:v>698</c:v>
                </c:pt>
                <c:pt idx="3">
                  <c:v>608</c:v>
                </c:pt>
                <c:pt idx="4">
                  <c:v>678</c:v>
                </c:pt>
                <c:pt idx="5">
                  <c:v>787</c:v>
                </c:pt>
                <c:pt idx="6">
                  <c:v>763</c:v>
                </c:pt>
                <c:pt idx="7">
                  <c:v>795</c:v>
                </c:pt>
                <c:pt idx="8">
                  <c:v>747</c:v>
                </c:pt>
                <c:pt idx="9">
                  <c:v>795</c:v>
                </c:pt>
                <c:pt idx="10">
                  <c:v>806</c:v>
                </c:pt>
                <c:pt idx="11">
                  <c:v>735</c:v>
                </c:pt>
                <c:pt idx="12">
                  <c:v>746</c:v>
                </c:pt>
              </c:numCache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Thousands(000)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925"/>
          <c:w val="0.0865"/>
          <c:h val="0.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Accounts Receivable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4"/>
          <c:w val="0.8152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Sheet1!$A$324</c:f>
              <c:strCache>
                <c:ptCount val="1"/>
                <c:pt idx="0">
                  <c:v>AR - Gross - 10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Sheet1!$B$324:$N$324</c:f>
            </c:numRef>
          </c:val>
          <c:smooth val="0"/>
        </c:ser>
        <c:ser>
          <c:idx val="1"/>
          <c:order val="1"/>
          <c:tx>
            <c:strRef>
              <c:f>Sheet1!$A$325</c:f>
              <c:strCache>
                <c:ptCount val="1"/>
                <c:pt idx="0">
                  <c:v>AR - Gross - 09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Sheet1!$B$325:$N$325</c:f>
            </c:numRef>
          </c:val>
          <c:smooth val="0"/>
        </c:ser>
        <c:ser>
          <c:idx val="2"/>
          <c:order val="2"/>
          <c:tx>
            <c:strRef>
              <c:f>Sheet1!$A$326</c:f>
              <c:strCache>
                <c:ptCount val="1"/>
                <c:pt idx="0">
                  <c:v>AR - Gross - 08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Sheet1!$B$326:$N$326</c:f>
            </c:numRef>
          </c:val>
          <c:smooth val="0"/>
        </c:ser>
        <c:ser>
          <c:idx val="3"/>
          <c:order val="3"/>
          <c:tx>
            <c:strRef>
              <c:f>Sheet1!$A$327</c:f>
              <c:strCache>
                <c:ptCount val="1"/>
                <c:pt idx="0">
                  <c:v>AR - Net - 21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Sheet1!$B$327:$N$327</c:f>
              <c:numCache>
                <c:ptCount val="13"/>
                <c:pt idx="0">
                  <c:v>6787</c:v>
                </c:pt>
                <c:pt idx="1">
                  <c:v>6512</c:v>
                </c:pt>
                <c:pt idx="2">
                  <c:v>5829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Sheet1!$A$328</c:f>
              <c:strCache>
                <c:ptCount val="1"/>
                <c:pt idx="0">
                  <c:v>AR - Net - 20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Sheet1!$B$328:$N$328</c:f>
              <c:numCache>
                <c:ptCount val="13"/>
                <c:pt idx="0">
                  <c:v>4853</c:v>
                </c:pt>
                <c:pt idx="1">
                  <c:v>4908</c:v>
                </c:pt>
                <c:pt idx="2">
                  <c:v>4531</c:v>
                </c:pt>
                <c:pt idx="3">
                  <c:v>3335</c:v>
                </c:pt>
                <c:pt idx="4">
                  <c:v>3688</c:v>
                </c:pt>
                <c:pt idx="5">
                  <c:v>4055</c:v>
                </c:pt>
                <c:pt idx="6">
                  <c:v>4568</c:v>
                </c:pt>
                <c:pt idx="7">
                  <c:v>4127</c:v>
                </c:pt>
                <c:pt idx="8">
                  <c:v>4169</c:v>
                </c:pt>
                <c:pt idx="9">
                  <c:v>4765</c:v>
                </c:pt>
                <c:pt idx="10">
                  <c:v>6322</c:v>
                </c:pt>
                <c:pt idx="11">
                  <c:v>6342</c:v>
                </c:pt>
                <c:pt idx="12">
                  <c:v>4638.583333333333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Sheet1!$A$329</c:f>
              <c:strCache>
                <c:ptCount val="1"/>
                <c:pt idx="0">
                  <c:v>AR - Net - 19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Sheet1!$B$329:$N$329</c:f>
              <c:numCache>
                <c:ptCount val="13"/>
                <c:pt idx="0">
                  <c:v>4168</c:v>
                </c:pt>
                <c:pt idx="1">
                  <c:v>4375</c:v>
                </c:pt>
                <c:pt idx="2">
                  <c:v>5427</c:v>
                </c:pt>
                <c:pt idx="3">
                  <c:v>5473</c:v>
                </c:pt>
                <c:pt idx="4">
                  <c:v>5419</c:v>
                </c:pt>
                <c:pt idx="5">
                  <c:v>4934</c:v>
                </c:pt>
                <c:pt idx="6">
                  <c:v>4875</c:v>
                </c:pt>
                <c:pt idx="7">
                  <c:v>3938</c:v>
                </c:pt>
                <c:pt idx="8">
                  <c:v>4358</c:v>
                </c:pt>
                <c:pt idx="9">
                  <c:v>4365</c:v>
                </c:pt>
                <c:pt idx="10">
                  <c:v>4611</c:v>
                </c:pt>
                <c:pt idx="11">
                  <c:v>4453</c:v>
                </c:pt>
                <c:pt idx="12">
                  <c:v>4699.666666666667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Sheet1!$A$330</c:f>
              <c:strCache>
                <c:ptCount val="1"/>
                <c:pt idx="0">
                  <c:v>AR - Net - 18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Sheet1!$B$330:$N$330</c:f>
              <c:numCache>
                <c:ptCount val="13"/>
                <c:pt idx="0">
                  <c:v>5813</c:v>
                </c:pt>
                <c:pt idx="1">
                  <c:v>7035</c:v>
                </c:pt>
                <c:pt idx="2">
                  <c:v>7355</c:v>
                </c:pt>
                <c:pt idx="3">
                  <c:v>7372</c:v>
                </c:pt>
                <c:pt idx="4">
                  <c:v>7571</c:v>
                </c:pt>
                <c:pt idx="5">
                  <c:v>7736</c:v>
                </c:pt>
                <c:pt idx="6">
                  <c:v>7457</c:v>
                </c:pt>
                <c:pt idx="7">
                  <c:v>7515</c:v>
                </c:pt>
                <c:pt idx="8">
                  <c:v>7347</c:v>
                </c:pt>
                <c:pt idx="9">
                  <c:v>6649</c:v>
                </c:pt>
                <c:pt idx="10">
                  <c:v>5677</c:v>
                </c:pt>
                <c:pt idx="11">
                  <c:v>3820</c:v>
                </c:pt>
                <c:pt idx="12">
                  <c:v>6778.916666666667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Sheet1!$A$331</c:f>
              <c:strCache>
                <c:ptCount val="1"/>
                <c:pt idx="0">
                  <c:v>AR - Net - 17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Sheet1!$B$323:$N$323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Sheet1!$B$331:$N$331</c:f>
              <c:numCache>
                <c:ptCount val="13"/>
                <c:pt idx="0">
                  <c:v>5870</c:v>
                </c:pt>
                <c:pt idx="1">
                  <c:v>5882</c:v>
                </c:pt>
                <c:pt idx="2">
                  <c:v>6213</c:v>
                </c:pt>
                <c:pt idx="3">
                  <c:v>5456</c:v>
                </c:pt>
                <c:pt idx="4">
                  <c:v>6621</c:v>
                </c:pt>
                <c:pt idx="5">
                  <c:v>7018</c:v>
                </c:pt>
                <c:pt idx="6">
                  <c:v>6536</c:v>
                </c:pt>
                <c:pt idx="7">
                  <c:v>6358</c:v>
                </c:pt>
                <c:pt idx="8">
                  <c:v>5865</c:v>
                </c:pt>
                <c:pt idx="9">
                  <c:v>6445</c:v>
                </c:pt>
                <c:pt idx="10">
                  <c:v>5179</c:v>
                </c:pt>
                <c:pt idx="11">
                  <c:v>4767</c:v>
                </c:pt>
                <c:pt idx="12">
                  <c:v>6017.5</c:v>
                </c:pt>
              </c:numCache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Accounts Receivable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21"/>
          <c:w val="0.07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Adj. Average Daily Census </a:t>
            </a:r>
          </a:p>
        </c:rich>
      </c:tx>
      <c:layout>
        <c:manualLayout>
          <c:xMode val="factor"/>
          <c:yMode val="factor"/>
          <c:x val="-0.019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75"/>
          <c:w val="0.794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Adj ADC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Sheet1!$B$17:$N$17</c:f>
              <c:numCache>
                <c:ptCount val="13"/>
                <c:pt idx="0">
                  <c:v>53.68</c:v>
                </c:pt>
                <c:pt idx="1">
                  <c:v>43.33</c:v>
                </c:pt>
                <c:pt idx="2">
                  <c:v>40.5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45.836666666666666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Adj Adc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Sheet1!$B$18:$N$18</c:f>
              <c:numCache>
                <c:ptCount val="13"/>
                <c:pt idx="0">
                  <c:v>62.75</c:v>
                </c:pt>
                <c:pt idx="1">
                  <c:v>60.97</c:v>
                </c:pt>
                <c:pt idx="2">
                  <c:v>48.07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57.26333333333333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Adj ADC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Sheet1!$B$19:$N$19</c:f>
              <c:numCache>
                <c:ptCount val="13"/>
                <c:pt idx="0">
                  <c:v>63.06</c:v>
                </c:pt>
                <c:pt idx="1">
                  <c:v>61.92</c:v>
                </c:pt>
                <c:pt idx="2">
                  <c:v>50.81</c:v>
                </c:pt>
                <c:pt idx="3">
                  <c:v>37.51</c:v>
                </c:pt>
                <c:pt idx="4">
                  <c:v>34.66</c:v>
                </c:pt>
                <c:pt idx="5">
                  <c:v>54.59</c:v>
                </c:pt>
                <c:pt idx="6">
                  <c:v>39.31</c:v>
                </c:pt>
                <c:pt idx="7">
                  <c:v>40</c:v>
                </c:pt>
                <c:pt idx="8">
                  <c:v>49.76</c:v>
                </c:pt>
                <c:pt idx="9">
                  <c:v>33.32</c:v>
                </c:pt>
                <c:pt idx="10">
                  <c:v>39.64</c:v>
                </c:pt>
                <c:pt idx="11">
                  <c:v>52.23</c:v>
                </c:pt>
                <c:pt idx="12">
                  <c:v>46.40083333333333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Adj ADC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Sheet1!$B$20:$N$20</c:f>
              <c:numCache>
                <c:ptCount val="13"/>
                <c:pt idx="0">
                  <c:v>50.19</c:v>
                </c:pt>
                <c:pt idx="1">
                  <c:v>68.5</c:v>
                </c:pt>
                <c:pt idx="2">
                  <c:v>63.57</c:v>
                </c:pt>
                <c:pt idx="3">
                  <c:v>50.3</c:v>
                </c:pt>
                <c:pt idx="4">
                  <c:v>70.83</c:v>
                </c:pt>
                <c:pt idx="5">
                  <c:v>66.08</c:v>
                </c:pt>
                <c:pt idx="6">
                  <c:v>79.33</c:v>
                </c:pt>
                <c:pt idx="7">
                  <c:v>57.57</c:v>
                </c:pt>
                <c:pt idx="8">
                  <c:v>84.48</c:v>
                </c:pt>
                <c:pt idx="9">
                  <c:v>54.43</c:v>
                </c:pt>
                <c:pt idx="10">
                  <c:v>57.12</c:v>
                </c:pt>
                <c:pt idx="11">
                  <c:v>52.34</c:v>
                </c:pt>
                <c:pt idx="12">
                  <c:v>62.89499999999999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Sheet1!$A$21</c:f>
              <c:strCache>
                <c:ptCount val="1"/>
                <c:pt idx="0">
                  <c:v>Adj ADC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Sheet1!$B$21:$N$21</c:f>
              <c:numCache>
                <c:ptCount val="13"/>
                <c:pt idx="0">
                  <c:v>90.33</c:v>
                </c:pt>
                <c:pt idx="1">
                  <c:v>80.2</c:v>
                </c:pt>
                <c:pt idx="2">
                  <c:v>81.75</c:v>
                </c:pt>
                <c:pt idx="3">
                  <c:v>72.18</c:v>
                </c:pt>
                <c:pt idx="4">
                  <c:v>72.7</c:v>
                </c:pt>
                <c:pt idx="5">
                  <c:v>97.22</c:v>
                </c:pt>
                <c:pt idx="6">
                  <c:v>67.38</c:v>
                </c:pt>
                <c:pt idx="7">
                  <c:v>55.99</c:v>
                </c:pt>
                <c:pt idx="8">
                  <c:v>45.5</c:v>
                </c:pt>
                <c:pt idx="9">
                  <c:v>50.81</c:v>
                </c:pt>
                <c:pt idx="10">
                  <c:v>47.83</c:v>
                </c:pt>
                <c:pt idx="11">
                  <c:v>54.34</c:v>
                </c:pt>
                <c:pt idx="12">
                  <c:v>68.01916666666666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Sheet1!$A$22</c:f>
              <c:strCache>
                <c:ptCount val="1"/>
                <c:pt idx="0">
                  <c:v>Adj ADC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Sheet1!$B$16:$N$16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Sheet1!$B$22:$N$22</c:f>
              <c:numCache>
                <c:ptCount val="13"/>
                <c:pt idx="0">
                  <c:v>53.85</c:v>
                </c:pt>
                <c:pt idx="1">
                  <c:v>64.95</c:v>
                </c:pt>
                <c:pt idx="2">
                  <c:v>51.97</c:v>
                </c:pt>
                <c:pt idx="3">
                  <c:v>58.51</c:v>
                </c:pt>
                <c:pt idx="4">
                  <c:v>57.8</c:v>
                </c:pt>
                <c:pt idx="5">
                  <c:v>54.95</c:v>
                </c:pt>
                <c:pt idx="6">
                  <c:v>48.13</c:v>
                </c:pt>
                <c:pt idx="7">
                  <c:v>90.79</c:v>
                </c:pt>
                <c:pt idx="8">
                  <c:v>77</c:v>
                </c:pt>
                <c:pt idx="9">
                  <c:v>114.34</c:v>
                </c:pt>
                <c:pt idx="10">
                  <c:v>132.7</c:v>
                </c:pt>
                <c:pt idx="11">
                  <c:v>114.96</c:v>
                </c:pt>
                <c:pt idx="12">
                  <c:v>76.66250000000001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Census - Excl. Asst. Living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25"/>
          <c:w val="0.076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Cash Collections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475"/>
          <c:w val="0.816"/>
          <c:h val="0.87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Sheet1!$A$339</c:f>
              <c:strCache>
                <c:ptCount val="1"/>
                <c:pt idx="0">
                  <c:v>Hosp Patient Cash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Sheet1!$B$338:$BI$338</c:f>
              <c:strCach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strCache>
            </c:strRef>
          </c:cat>
          <c:val>
            <c:numRef>
              <c:f>Sheet1!$B$339:$BI$339</c:f>
              <c:numCache>
                <c:ptCount val="60"/>
                <c:pt idx="0">
                  <c:v>1300381.69</c:v>
                </c:pt>
                <c:pt idx="1">
                  <c:v>1211129.58</c:v>
                </c:pt>
                <c:pt idx="2">
                  <c:v>1420848.01</c:v>
                </c:pt>
                <c:pt idx="3">
                  <c:v>1311695.77</c:v>
                </c:pt>
                <c:pt idx="4">
                  <c:v>916559.4099999999</c:v>
                </c:pt>
                <c:pt idx="5">
                  <c:v>1192983.44</c:v>
                </c:pt>
                <c:pt idx="6">
                  <c:v>1494913.56</c:v>
                </c:pt>
                <c:pt idx="7">
                  <c:v>1976529.65</c:v>
                </c:pt>
                <c:pt idx="8">
                  <c:v>1733939.59</c:v>
                </c:pt>
                <c:pt idx="9">
                  <c:v>2043005.81</c:v>
                </c:pt>
                <c:pt idx="10">
                  <c:v>2097736.5</c:v>
                </c:pt>
                <c:pt idx="11">
                  <c:v>1891841.01</c:v>
                </c:pt>
                <c:pt idx="12">
                  <c:v>2702373.85</c:v>
                </c:pt>
                <c:pt idx="13">
                  <c:v>1857516</c:v>
                </c:pt>
                <c:pt idx="14">
                  <c:v>2015435</c:v>
                </c:pt>
                <c:pt idx="15">
                  <c:v>2016282</c:v>
                </c:pt>
                <c:pt idx="16">
                  <c:v>2117248</c:v>
                </c:pt>
                <c:pt idx="17">
                  <c:v>1601814</c:v>
                </c:pt>
                <c:pt idx="18">
                  <c:v>1787642.92</c:v>
                </c:pt>
                <c:pt idx="19">
                  <c:v>1900673</c:v>
                </c:pt>
                <c:pt idx="20">
                  <c:v>1777133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1443362.79</c:v>
                </c:pt>
                <c:pt idx="25">
                  <c:v>2232649.91</c:v>
                </c:pt>
                <c:pt idx="26">
                  <c:v>2251000.7</c:v>
                </c:pt>
                <c:pt idx="27">
                  <c:v>2244853.65</c:v>
                </c:pt>
                <c:pt idx="28">
                  <c:v>2171426</c:v>
                </c:pt>
                <c:pt idx="29">
                  <c:v>2044846.74</c:v>
                </c:pt>
                <c:pt idx="30">
                  <c:v>2030373</c:v>
                </c:pt>
                <c:pt idx="31">
                  <c:v>1911074</c:v>
                </c:pt>
                <c:pt idx="32">
                  <c:v>2020140</c:v>
                </c:pt>
                <c:pt idx="33">
                  <c:v>2365679</c:v>
                </c:pt>
                <c:pt idx="34">
                  <c:v>2321418.85</c:v>
                </c:pt>
                <c:pt idx="35">
                  <c:v>2862801.99</c:v>
                </c:pt>
                <c:pt idx="36">
                  <c:v>2175701</c:v>
                </c:pt>
                <c:pt idx="37">
                  <c:v>2054505.78</c:v>
                </c:pt>
                <c:pt idx="38">
                  <c:v>2586783</c:v>
                </c:pt>
                <c:pt idx="39">
                  <c:v>2017683</c:v>
                </c:pt>
                <c:pt idx="40">
                  <c:v>1505128</c:v>
                </c:pt>
                <c:pt idx="41">
                  <c:v>1506153.95</c:v>
                </c:pt>
                <c:pt idx="42">
                  <c:v>1961664.23</c:v>
                </c:pt>
                <c:pt idx="43">
                  <c:v>1844373.36</c:v>
                </c:pt>
                <c:pt idx="44">
                  <c:v>2307842.29</c:v>
                </c:pt>
                <c:pt idx="45">
                  <c:v>2005483</c:v>
                </c:pt>
                <c:pt idx="46">
                  <c:v>1514917.81</c:v>
                </c:pt>
                <c:pt idx="47">
                  <c:v>2090201.07</c:v>
                </c:pt>
                <c:pt idx="48">
                  <c:v>1893300.52</c:v>
                </c:pt>
                <c:pt idx="49">
                  <c:v>2344837</c:v>
                </c:pt>
                <c:pt idx="50">
                  <c:v>2912551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Sheet1!$A$340</c:f>
              <c:strCache>
                <c:ptCount val="1"/>
                <c:pt idx="0">
                  <c:v>Hosp Misc Cash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Sheet1!$B$338:$BI$338</c:f>
              <c:strCach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strCache>
            </c:strRef>
          </c:cat>
          <c:val>
            <c:numRef>
              <c:f>Sheet1!$B$340:$BI$340</c:f>
              <c:numCache>
                <c:ptCount val="60"/>
                <c:pt idx="0">
                  <c:v>2918489.77</c:v>
                </c:pt>
                <c:pt idx="1">
                  <c:v>2906657.16</c:v>
                </c:pt>
                <c:pt idx="2">
                  <c:v>1375209</c:v>
                </c:pt>
                <c:pt idx="3">
                  <c:v>1477924.05</c:v>
                </c:pt>
                <c:pt idx="4">
                  <c:v>806825.71</c:v>
                </c:pt>
                <c:pt idx="5">
                  <c:v>1229397.6</c:v>
                </c:pt>
                <c:pt idx="6">
                  <c:v>1788613.37</c:v>
                </c:pt>
                <c:pt idx="7">
                  <c:v>1360482.21</c:v>
                </c:pt>
                <c:pt idx="8">
                  <c:v>3238204.53</c:v>
                </c:pt>
                <c:pt idx="9">
                  <c:v>807883.91</c:v>
                </c:pt>
                <c:pt idx="10">
                  <c:v>1801314.66</c:v>
                </c:pt>
                <c:pt idx="11">
                  <c:v>2418034.79</c:v>
                </c:pt>
                <c:pt idx="12">
                  <c:v>2330640.23</c:v>
                </c:pt>
                <c:pt idx="13">
                  <c:v>99243.87</c:v>
                </c:pt>
                <c:pt idx="14">
                  <c:v>1087686.78</c:v>
                </c:pt>
                <c:pt idx="15">
                  <c:v>758474.08</c:v>
                </c:pt>
                <c:pt idx="16">
                  <c:v>87115.45</c:v>
                </c:pt>
                <c:pt idx="17">
                  <c:v>184017.56</c:v>
                </c:pt>
                <c:pt idx="18">
                  <c:v>994029.4199999999</c:v>
                </c:pt>
                <c:pt idx="19">
                  <c:v>772374</c:v>
                </c:pt>
                <c:pt idx="20">
                  <c:v>3032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499053.3600000001</c:v>
                </c:pt>
                <c:pt idx="25">
                  <c:v>470719</c:v>
                </c:pt>
                <c:pt idx="26">
                  <c:v>463215.45</c:v>
                </c:pt>
                <c:pt idx="27">
                  <c:v>236630</c:v>
                </c:pt>
                <c:pt idx="28">
                  <c:v>337982</c:v>
                </c:pt>
                <c:pt idx="29">
                  <c:v>367908.79</c:v>
                </c:pt>
                <c:pt idx="30">
                  <c:v>1350363</c:v>
                </c:pt>
                <c:pt idx="31">
                  <c:v>36445</c:v>
                </c:pt>
                <c:pt idx="32">
                  <c:v>2179663.33</c:v>
                </c:pt>
                <c:pt idx="33">
                  <c:v>970000</c:v>
                </c:pt>
                <c:pt idx="34">
                  <c:v>1450000</c:v>
                </c:pt>
                <c:pt idx="35">
                  <c:v>750000</c:v>
                </c:pt>
                <c:pt idx="36">
                  <c:v>500010</c:v>
                </c:pt>
                <c:pt idx="37">
                  <c:v>325630</c:v>
                </c:pt>
                <c:pt idx="38">
                  <c:v>315600</c:v>
                </c:pt>
                <c:pt idx="39">
                  <c:v>8597000</c:v>
                </c:pt>
                <c:pt idx="40">
                  <c:v>4189680</c:v>
                </c:pt>
                <c:pt idx="41">
                  <c:v>386471</c:v>
                </c:pt>
                <c:pt idx="42">
                  <c:v>376540</c:v>
                </c:pt>
                <c:pt idx="43">
                  <c:v>387454</c:v>
                </c:pt>
                <c:pt idx="44">
                  <c:v>276340</c:v>
                </c:pt>
                <c:pt idx="45">
                  <c:v>1900643</c:v>
                </c:pt>
                <c:pt idx="46">
                  <c:v>3365438</c:v>
                </c:pt>
                <c:pt idx="47">
                  <c:v>459335.77</c:v>
                </c:pt>
                <c:pt idx="48">
                  <c:v>919983.05</c:v>
                </c:pt>
                <c:pt idx="49">
                  <c:v>356179</c:v>
                </c:pt>
                <c:pt idx="50">
                  <c:v>404306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Sheet1!$A$341</c:f>
              <c:strCache>
                <c:ptCount val="1"/>
                <c:pt idx="0">
                  <c:v>Kerr Patient Cash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Sheet1!$B$338:$BI$338</c:f>
              <c:strCach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strCache>
            </c:strRef>
          </c:cat>
          <c:val>
            <c:numRef>
              <c:f>Sheet1!$B$341:$BI$341</c:f>
              <c:numCache>
                <c:ptCount val="60"/>
                <c:pt idx="0">
                  <c:v>47123.56</c:v>
                </c:pt>
                <c:pt idx="1">
                  <c:v>65061.58</c:v>
                </c:pt>
                <c:pt idx="2">
                  <c:v>63979</c:v>
                </c:pt>
                <c:pt idx="3">
                  <c:v>35183.04</c:v>
                </c:pt>
                <c:pt idx="4">
                  <c:v>86688.85</c:v>
                </c:pt>
                <c:pt idx="5">
                  <c:v>23321.59</c:v>
                </c:pt>
                <c:pt idx="6">
                  <c:v>3222</c:v>
                </c:pt>
                <c:pt idx="7">
                  <c:v>26868</c:v>
                </c:pt>
                <c:pt idx="8">
                  <c:v>6445.95</c:v>
                </c:pt>
                <c:pt idx="9">
                  <c:v>34686</c:v>
                </c:pt>
                <c:pt idx="10">
                  <c:v>958.62</c:v>
                </c:pt>
                <c:pt idx="11">
                  <c:v>2396</c:v>
                </c:pt>
                <c:pt idx="12">
                  <c:v>932.67</c:v>
                </c:pt>
                <c:pt idx="13">
                  <c:v>0</c:v>
                </c:pt>
                <c:pt idx="14">
                  <c:v>9780</c:v>
                </c:pt>
                <c:pt idx="15">
                  <c:v>9600</c:v>
                </c:pt>
                <c:pt idx="16">
                  <c:v>2316</c:v>
                </c:pt>
                <c:pt idx="17">
                  <c:v>0</c:v>
                </c:pt>
                <c:pt idx="18">
                  <c:v>0</c:v>
                </c:pt>
                <c:pt idx="19">
                  <c:v>10251</c:v>
                </c:pt>
                <c:pt idx="20">
                  <c:v>291122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Sheet1!$A$342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Sheet1!$B$338:$BI$338</c:f>
              <c:strCach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  <c:pt idx="59">
                  <c:v>44561</c:v>
                </c:pt>
              </c:strCache>
            </c:strRef>
          </c:cat>
          <c:val>
            <c:numRef>
              <c:f>Sheet1!$B$342:$BI$342</c:f>
              <c:numCache>
                <c:ptCount val="60"/>
                <c:pt idx="0">
                  <c:v>4265995.02</c:v>
                </c:pt>
                <c:pt idx="1">
                  <c:v>4182848.3200000003</c:v>
                </c:pt>
                <c:pt idx="2">
                  <c:v>2860036.01</c:v>
                </c:pt>
                <c:pt idx="3">
                  <c:v>2824802.8600000003</c:v>
                </c:pt>
                <c:pt idx="4">
                  <c:v>1810073.97</c:v>
                </c:pt>
                <c:pt idx="5">
                  <c:v>2445702.63</c:v>
                </c:pt>
                <c:pt idx="6">
                  <c:v>3286748.93</c:v>
                </c:pt>
                <c:pt idx="7">
                  <c:v>3363879.86</c:v>
                </c:pt>
                <c:pt idx="8">
                  <c:v>4978590.07</c:v>
                </c:pt>
                <c:pt idx="9">
                  <c:v>2885575.72</c:v>
                </c:pt>
                <c:pt idx="10">
                  <c:v>3900009.7800000003</c:v>
                </c:pt>
                <c:pt idx="11">
                  <c:v>4312271.8</c:v>
                </c:pt>
                <c:pt idx="12">
                  <c:v>5033946.75</c:v>
                </c:pt>
                <c:pt idx="13">
                  <c:v>1956759.87</c:v>
                </c:pt>
                <c:pt idx="14">
                  <c:v>3112901.7800000003</c:v>
                </c:pt>
                <c:pt idx="15">
                  <c:v>2784356.08</c:v>
                </c:pt>
                <c:pt idx="16">
                  <c:v>2206679.45</c:v>
                </c:pt>
                <c:pt idx="17">
                  <c:v>1785831.56</c:v>
                </c:pt>
                <c:pt idx="18">
                  <c:v>2781672.34</c:v>
                </c:pt>
                <c:pt idx="19">
                  <c:v>2683298</c:v>
                </c:pt>
                <c:pt idx="20">
                  <c:v>2071287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1942416.1500000001</c:v>
                </c:pt>
                <c:pt idx="25">
                  <c:v>2703368.91</c:v>
                </c:pt>
                <c:pt idx="26">
                  <c:v>2714216.1500000004</c:v>
                </c:pt>
                <c:pt idx="27">
                  <c:v>2481483.65</c:v>
                </c:pt>
                <c:pt idx="28">
                  <c:v>2509408</c:v>
                </c:pt>
                <c:pt idx="29">
                  <c:v>2412755.53</c:v>
                </c:pt>
                <c:pt idx="30">
                  <c:v>3380736</c:v>
                </c:pt>
                <c:pt idx="31">
                  <c:v>1947519</c:v>
                </c:pt>
                <c:pt idx="32">
                  <c:v>4199803.33</c:v>
                </c:pt>
                <c:pt idx="33">
                  <c:v>3335679</c:v>
                </c:pt>
                <c:pt idx="34">
                  <c:v>3771418.85</c:v>
                </c:pt>
                <c:pt idx="35">
                  <c:v>3612801.99</c:v>
                </c:pt>
                <c:pt idx="36">
                  <c:v>2675711</c:v>
                </c:pt>
                <c:pt idx="37">
                  <c:v>2380135.7800000003</c:v>
                </c:pt>
                <c:pt idx="38">
                  <c:v>2902383</c:v>
                </c:pt>
                <c:pt idx="39">
                  <c:v>10614683</c:v>
                </c:pt>
                <c:pt idx="40">
                  <c:v>5694808</c:v>
                </c:pt>
                <c:pt idx="41">
                  <c:v>1892624.95</c:v>
                </c:pt>
                <c:pt idx="42">
                  <c:v>2338204.23</c:v>
                </c:pt>
                <c:pt idx="43">
                  <c:v>2231827.3600000003</c:v>
                </c:pt>
                <c:pt idx="44">
                  <c:v>2584182.29</c:v>
                </c:pt>
                <c:pt idx="45">
                  <c:v>3906126</c:v>
                </c:pt>
                <c:pt idx="46">
                  <c:v>4880355.8100000005</c:v>
                </c:pt>
                <c:pt idx="47">
                  <c:v>2549536.84</c:v>
                </c:pt>
                <c:pt idx="48">
                  <c:v>2813283.5700000003</c:v>
                </c:pt>
                <c:pt idx="49">
                  <c:v>2701016</c:v>
                </c:pt>
                <c:pt idx="50">
                  <c:v>3316857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hape val="box"/>
        </c:ser>
        <c:overlap val="100"/>
        <c:shape val="box"/>
        <c:axId val="46308648"/>
        <c:axId val="14124649"/>
      </c:bar3DChart>
      <c:dateAx>
        <c:axId val="4630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246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4735"/>
          <c:w val="0.1262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Hospital- Deliveries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2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Deliveries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Sheet1!$B$32:$N$32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Deliveries - 21 Bud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Sheet1!$B$33:$N$33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9.666666666666666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Deliveries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Sheet1!$B$34:$N$34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17</c:v>
                </c:pt>
                <c:pt idx="7">
                  <c:v>12</c:v>
                </c:pt>
                <c:pt idx="8">
                  <c:v>18</c:v>
                </c:pt>
                <c:pt idx="9">
                  <c:v>15</c:v>
                </c:pt>
                <c:pt idx="10">
                  <c:v>16</c:v>
                </c:pt>
                <c:pt idx="11">
                  <c:v>12</c:v>
                </c:pt>
                <c:pt idx="12">
                  <c:v>13.25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Deliveries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Sheet1!$B$35:$N$35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19</c:v>
                </c:pt>
                <c:pt idx="8">
                  <c:v>10</c:v>
                </c:pt>
                <c:pt idx="9">
                  <c:v>14</c:v>
                </c:pt>
                <c:pt idx="10">
                  <c:v>18</c:v>
                </c:pt>
                <c:pt idx="11">
                  <c:v>8</c:v>
                </c:pt>
                <c:pt idx="12">
                  <c:v>13.083333333333334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Sheet1!$A$36</c:f>
              <c:strCache>
                <c:ptCount val="1"/>
                <c:pt idx="0">
                  <c:v>Deliveries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Sheet1!$B$36:$N$36</c:f>
              <c:numCach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8</c:v>
                </c:pt>
                <c:pt idx="7">
                  <c:v>18</c:v>
                </c:pt>
                <c:pt idx="8">
                  <c:v>12</c:v>
                </c:pt>
                <c:pt idx="9">
                  <c:v>11</c:v>
                </c:pt>
                <c:pt idx="10">
                  <c:v>18</c:v>
                </c:pt>
                <c:pt idx="11">
                  <c:v>16</c:v>
                </c:pt>
                <c:pt idx="12">
                  <c:v>12.333333333333334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Sheet1!$A$37</c:f>
              <c:strCache>
                <c:ptCount val="1"/>
                <c:pt idx="0">
                  <c:v>Deliveries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Sheet1!$B$31:$N$31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Sheet1!$B$37:$N$37</c:f>
              <c:numCache>
                <c:ptCount val="13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13.916666666666666</c:v>
                </c:pt>
              </c:numCache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Deliveries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6575"/>
          <c:w val="0.081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Outpatient Surgeries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42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Sheet1!$A$47</c:f>
              <c:strCache>
                <c:ptCount val="1"/>
                <c:pt idx="0">
                  <c:v>O/P Surgeries 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Sheet1!$B$47:$N$47</c:f>
              <c:numCache>
                <c:ptCount val="13"/>
                <c:pt idx="0">
                  <c:v>43</c:v>
                </c:pt>
                <c:pt idx="1">
                  <c:v>60</c:v>
                </c:pt>
                <c:pt idx="2">
                  <c:v>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58.666666666666664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Sheet1!$A$48</c:f>
              <c:strCache>
                <c:ptCount val="1"/>
                <c:pt idx="0">
                  <c:v>O/P Surgeries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Sheet1!$B$48:$N$48</c:f>
              <c:numCache>
                <c:ptCount val="13"/>
                <c:pt idx="0">
                  <c:v>84</c:v>
                </c:pt>
                <c:pt idx="1">
                  <c:v>71</c:v>
                </c:pt>
                <c:pt idx="2">
                  <c:v>41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65.33333333333333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Sheet1!$A$49</c:f>
              <c:strCache>
                <c:ptCount val="1"/>
                <c:pt idx="0">
                  <c:v>O/P Surgeries 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Sheet1!$B$49:$N$49</c:f>
              <c:numCache>
                <c:ptCount val="13"/>
                <c:pt idx="0">
                  <c:v>82</c:v>
                </c:pt>
                <c:pt idx="1">
                  <c:v>69</c:v>
                </c:pt>
                <c:pt idx="2">
                  <c:v>40</c:v>
                </c:pt>
                <c:pt idx="3">
                  <c:v>18</c:v>
                </c:pt>
                <c:pt idx="4">
                  <c:v>36</c:v>
                </c:pt>
                <c:pt idx="5">
                  <c:v>82</c:v>
                </c:pt>
                <c:pt idx="6">
                  <c:v>49</c:v>
                </c:pt>
                <c:pt idx="7">
                  <c:v>60</c:v>
                </c:pt>
                <c:pt idx="8">
                  <c:v>54</c:v>
                </c:pt>
                <c:pt idx="9">
                  <c:v>31</c:v>
                </c:pt>
                <c:pt idx="10">
                  <c:v>52</c:v>
                </c:pt>
                <c:pt idx="11">
                  <c:v>58</c:v>
                </c:pt>
                <c:pt idx="12">
                  <c:v>52.583333333333336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Sheet1!$A$50</c:f>
              <c:strCache>
                <c:ptCount val="1"/>
                <c:pt idx="0">
                  <c:v>O/P Surgeries 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Sheet1!$B$50:$N$50</c:f>
              <c:numCache>
                <c:ptCount val="13"/>
                <c:pt idx="0">
                  <c:v>74</c:v>
                </c:pt>
                <c:pt idx="1">
                  <c:v>83</c:v>
                </c:pt>
                <c:pt idx="2">
                  <c:v>61</c:v>
                </c:pt>
                <c:pt idx="3">
                  <c:v>53</c:v>
                </c:pt>
                <c:pt idx="4">
                  <c:v>70</c:v>
                </c:pt>
                <c:pt idx="5">
                  <c:v>59</c:v>
                </c:pt>
                <c:pt idx="6">
                  <c:v>66</c:v>
                </c:pt>
                <c:pt idx="7">
                  <c:v>62</c:v>
                </c:pt>
                <c:pt idx="8">
                  <c:v>70</c:v>
                </c:pt>
                <c:pt idx="9">
                  <c:v>78</c:v>
                </c:pt>
                <c:pt idx="10">
                  <c:v>68</c:v>
                </c:pt>
                <c:pt idx="11">
                  <c:v>57</c:v>
                </c:pt>
                <c:pt idx="12">
                  <c:v>66.75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Sheet1!$A$51</c:f>
              <c:strCache>
                <c:ptCount val="1"/>
                <c:pt idx="0">
                  <c:v>O/P Surgeries 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Sheet1!$B$51:$N$51</c:f>
              <c:numCache>
                <c:ptCount val="13"/>
                <c:pt idx="0">
                  <c:v>65</c:v>
                </c:pt>
                <c:pt idx="1">
                  <c:v>82</c:v>
                </c:pt>
                <c:pt idx="2">
                  <c:v>65</c:v>
                </c:pt>
                <c:pt idx="3">
                  <c:v>81</c:v>
                </c:pt>
                <c:pt idx="4">
                  <c:v>55</c:v>
                </c:pt>
                <c:pt idx="5">
                  <c:v>82</c:v>
                </c:pt>
                <c:pt idx="6">
                  <c:v>52</c:v>
                </c:pt>
                <c:pt idx="7">
                  <c:v>86</c:v>
                </c:pt>
                <c:pt idx="8">
                  <c:v>58</c:v>
                </c:pt>
                <c:pt idx="9">
                  <c:v>72</c:v>
                </c:pt>
                <c:pt idx="10">
                  <c:v>91</c:v>
                </c:pt>
                <c:pt idx="11">
                  <c:v>72</c:v>
                </c:pt>
                <c:pt idx="12">
                  <c:v>71.75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Sheet1!$A$52</c:f>
              <c:strCache>
                <c:ptCount val="1"/>
                <c:pt idx="0">
                  <c:v>O/P Surgeries 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Sheet1!$B$52:$N$52</c:f>
              <c:numCache>
                <c:ptCount val="13"/>
                <c:pt idx="0">
                  <c:v>67</c:v>
                </c:pt>
                <c:pt idx="1">
                  <c:v>87</c:v>
                </c:pt>
                <c:pt idx="2">
                  <c:v>95</c:v>
                </c:pt>
                <c:pt idx="3">
                  <c:v>75</c:v>
                </c:pt>
                <c:pt idx="4">
                  <c:v>63</c:v>
                </c:pt>
                <c:pt idx="5">
                  <c:v>51</c:v>
                </c:pt>
                <c:pt idx="6">
                  <c:v>53</c:v>
                </c:pt>
                <c:pt idx="7">
                  <c:v>83</c:v>
                </c:pt>
                <c:pt idx="8">
                  <c:v>82</c:v>
                </c:pt>
                <c:pt idx="9">
                  <c:v>89</c:v>
                </c:pt>
                <c:pt idx="10">
                  <c:v>64</c:v>
                </c:pt>
                <c:pt idx="11">
                  <c:v>64</c:v>
                </c:pt>
                <c:pt idx="12">
                  <c:v>72.75</c:v>
                </c:pt>
              </c:numCache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Outpatient Surgeries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26575"/>
          <c:w val="0.088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ER Visits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27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Sheet1!$A$62</c:f>
              <c:strCache>
                <c:ptCount val="1"/>
                <c:pt idx="0">
                  <c:v>ER Visits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Sheet1!$B$62:$N$62</c:f>
              <c:numCache>
                <c:ptCount val="13"/>
                <c:pt idx="0">
                  <c:v>611</c:v>
                </c:pt>
                <c:pt idx="1">
                  <c:v>454</c:v>
                </c:pt>
                <c:pt idx="2">
                  <c:v>585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Sheet1!$A$63</c:f>
              <c:strCache>
                <c:ptCount val="1"/>
                <c:pt idx="0">
                  <c:v>ER Visits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Sheet1!$B$63:$N$63</c:f>
              <c:numCache>
                <c:ptCount val="13"/>
                <c:pt idx="0">
                  <c:v>752</c:v>
                </c:pt>
                <c:pt idx="1">
                  <c:v>732</c:v>
                </c:pt>
                <c:pt idx="2">
                  <c:v>633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705.6666666666666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Sheet1!$A$64</c:f>
              <c:strCache>
                <c:ptCount val="1"/>
                <c:pt idx="0">
                  <c:v>ER Visits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Sheet1!$B$64:$N$64</c:f>
              <c:numCache>
                <c:ptCount val="13"/>
                <c:pt idx="0">
                  <c:v>730</c:v>
                </c:pt>
                <c:pt idx="1">
                  <c:v>711</c:v>
                </c:pt>
                <c:pt idx="2">
                  <c:v>615</c:v>
                </c:pt>
                <c:pt idx="3">
                  <c:v>376</c:v>
                </c:pt>
                <c:pt idx="4">
                  <c:v>474</c:v>
                </c:pt>
                <c:pt idx="5">
                  <c:v>509</c:v>
                </c:pt>
                <c:pt idx="6">
                  <c:v>582</c:v>
                </c:pt>
                <c:pt idx="7">
                  <c:v>577</c:v>
                </c:pt>
                <c:pt idx="8">
                  <c:v>644</c:v>
                </c:pt>
                <c:pt idx="9">
                  <c:v>624</c:v>
                </c:pt>
                <c:pt idx="10">
                  <c:v>559</c:v>
                </c:pt>
                <c:pt idx="11">
                  <c:v>574</c:v>
                </c:pt>
                <c:pt idx="12">
                  <c:v>581.25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Sheet1!$A$65</c:f>
              <c:strCache>
                <c:ptCount val="1"/>
                <c:pt idx="0">
                  <c:v>ER Visits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Sheet1!$B$65:$N$65</c:f>
              <c:numCache>
                <c:ptCount val="13"/>
                <c:pt idx="0">
                  <c:v>607</c:v>
                </c:pt>
                <c:pt idx="1">
                  <c:v>641</c:v>
                </c:pt>
                <c:pt idx="2">
                  <c:v>679</c:v>
                </c:pt>
                <c:pt idx="3">
                  <c:v>561</c:v>
                </c:pt>
                <c:pt idx="4">
                  <c:v>709</c:v>
                </c:pt>
                <c:pt idx="5">
                  <c:v>676</c:v>
                </c:pt>
                <c:pt idx="6">
                  <c:v>681</c:v>
                </c:pt>
                <c:pt idx="7">
                  <c:v>714</c:v>
                </c:pt>
                <c:pt idx="8">
                  <c:v>692</c:v>
                </c:pt>
                <c:pt idx="9">
                  <c:v>664</c:v>
                </c:pt>
                <c:pt idx="10">
                  <c:v>688</c:v>
                </c:pt>
                <c:pt idx="11">
                  <c:v>813</c:v>
                </c:pt>
                <c:pt idx="12">
                  <c:v>677.0833333333334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Sheet1!$A$66</c:f>
              <c:strCache>
                <c:ptCount val="1"/>
                <c:pt idx="0">
                  <c:v>ER Visits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Sheet1!$B$66:$N$66</c:f>
              <c:numCache>
                <c:ptCount val="13"/>
                <c:pt idx="0">
                  <c:v>738</c:v>
                </c:pt>
                <c:pt idx="1">
                  <c:v>651</c:v>
                </c:pt>
                <c:pt idx="2">
                  <c:v>614</c:v>
                </c:pt>
                <c:pt idx="3">
                  <c:v>551</c:v>
                </c:pt>
                <c:pt idx="4">
                  <c:v>580</c:v>
                </c:pt>
                <c:pt idx="5">
                  <c:v>647</c:v>
                </c:pt>
                <c:pt idx="6">
                  <c:v>594</c:v>
                </c:pt>
                <c:pt idx="7">
                  <c:v>581</c:v>
                </c:pt>
                <c:pt idx="8">
                  <c:v>564</c:v>
                </c:pt>
                <c:pt idx="9">
                  <c:v>568</c:v>
                </c:pt>
                <c:pt idx="10">
                  <c:v>529</c:v>
                </c:pt>
                <c:pt idx="11">
                  <c:v>552</c:v>
                </c:pt>
                <c:pt idx="12">
                  <c:v>597.4166666666666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Sheet1!$A$67</c:f>
              <c:strCache>
                <c:ptCount val="1"/>
                <c:pt idx="0">
                  <c:v>ER Visits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Sheet1!$B$61:$N$61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Sheet1!$B$67:$N$67</c:f>
              <c:numCache>
                <c:ptCount val="13"/>
                <c:pt idx="0">
                  <c:v>779</c:v>
                </c:pt>
                <c:pt idx="1">
                  <c:v>776</c:v>
                </c:pt>
                <c:pt idx="2">
                  <c:v>755</c:v>
                </c:pt>
                <c:pt idx="3">
                  <c:v>732</c:v>
                </c:pt>
                <c:pt idx="4">
                  <c:v>641</c:v>
                </c:pt>
                <c:pt idx="5">
                  <c:v>567</c:v>
                </c:pt>
                <c:pt idx="6">
                  <c:v>674</c:v>
                </c:pt>
                <c:pt idx="7">
                  <c:v>640</c:v>
                </c:pt>
                <c:pt idx="8">
                  <c:v>640</c:v>
                </c:pt>
                <c:pt idx="9">
                  <c:v>590</c:v>
                </c:pt>
                <c:pt idx="10">
                  <c:v>642</c:v>
                </c:pt>
                <c:pt idx="11">
                  <c:v>631</c:v>
                </c:pt>
                <c:pt idx="12">
                  <c:v>672.25</c:v>
                </c:pt>
              </c:numCache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ER Visits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6575"/>
          <c:w val="0.078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Other Outpatient Visits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766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Sheet1!$A$77</c:f>
              <c:strCache>
                <c:ptCount val="1"/>
                <c:pt idx="0">
                  <c:v>Other O/P Visits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Sheet1!$B$77:$N$77</c:f>
              <c:numCache>
                <c:ptCount val="13"/>
                <c:pt idx="0">
                  <c:v>3377</c:v>
                </c:pt>
                <c:pt idx="1">
                  <c:v>2520</c:v>
                </c:pt>
                <c:pt idx="2">
                  <c:v>3105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3000.6666666666665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Sheet1!$A$78</c:f>
              <c:strCache>
                <c:ptCount val="1"/>
                <c:pt idx="0">
                  <c:v>Other O/P Visits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Sheet1!$B$78:$N$78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2328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3021.3333333333335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Sheet1!$A$79</c:f>
              <c:strCache>
                <c:ptCount val="1"/>
                <c:pt idx="0">
                  <c:v>Other O/P Visits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Sheet1!$B$79:$N$79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2328</c:v>
                </c:pt>
                <c:pt idx="3">
                  <c:v>1450</c:v>
                </c:pt>
                <c:pt idx="4">
                  <c:v>2095</c:v>
                </c:pt>
                <c:pt idx="5">
                  <c:v>2600</c:v>
                </c:pt>
                <c:pt idx="6">
                  <c:v>3042</c:v>
                </c:pt>
                <c:pt idx="7">
                  <c:v>2722</c:v>
                </c:pt>
                <c:pt idx="8">
                  <c:v>3433</c:v>
                </c:pt>
                <c:pt idx="9">
                  <c:v>3483</c:v>
                </c:pt>
                <c:pt idx="10">
                  <c:v>3439</c:v>
                </c:pt>
                <c:pt idx="11">
                  <c:v>3239</c:v>
                </c:pt>
                <c:pt idx="12">
                  <c:v>2880.5833333333335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Sheet1!$A$80</c:f>
              <c:strCache>
                <c:ptCount val="1"/>
                <c:pt idx="0">
                  <c:v>Other O/P Visits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Sheet1!$B$80:$N$80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3037</c:v>
                </c:pt>
                <c:pt idx="10">
                  <c:v>2685</c:v>
                </c:pt>
                <c:pt idx="11">
                  <c:v>3192</c:v>
                </c:pt>
                <c:pt idx="12">
                  <c:v>2774.75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Sheet1!$A$81</c:f>
              <c:strCache>
                <c:ptCount val="1"/>
                <c:pt idx="0">
                  <c:v>Other O/P Visits - 18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Sheet1!$B$81:$N$81</c:f>
              <c:numCache>
                <c:ptCount val="13"/>
                <c:pt idx="0">
                  <c:v>4900</c:v>
                </c:pt>
                <c:pt idx="1">
                  <c:v>5106</c:v>
                </c:pt>
                <c:pt idx="2">
                  <c:v>4167</c:v>
                </c:pt>
                <c:pt idx="3">
                  <c:v>3416</c:v>
                </c:pt>
                <c:pt idx="4">
                  <c:v>3552</c:v>
                </c:pt>
                <c:pt idx="5">
                  <c:v>3317</c:v>
                </c:pt>
                <c:pt idx="6">
                  <c:v>2660</c:v>
                </c:pt>
                <c:pt idx="7">
                  <c:v>2975</c:v>
                </c:pt>
                <c:pt idx="8">
                  <c:v>2520</c:v>
                </c:pt>
                <c:pt idx="9">
                  <c:v>2723</c:v>
                </c:pt>
                <c:pt idx="10">
                  <c:v>2487</c:v>
                </c:pt>
                <c:pt idx="11">
                  <c:v>2286</c:v>
                </c:pt>
                <c:pt idx="12">
                  <c:v>3342.4166666666665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Sheet1!$A$82</c:f>
              <c:strCache>
                <c:ptCount val="1"/>
                <c:pt idx="0">
                  <c:v>Other O/P Visits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Sheet1!$B$76:$N$76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Sheet1!$B$82:$N$82</c:f>
              <c:numCache>
                <c:ptCount val="13"/>
                <c:pt idx="0">
                  <c:v>4225</c:v>
                </c:pt>
                <c:pt idx="1">
                  <c:v>2777</c:v>
                </c:pt>
                <c:pt idx="2">
                  <c:v>2667</c:v>
                </c:pt>
                <c:pt idx="3">
                  <c:v>1954</c:v>
                </c:pt>
                <c:pt idx="4">
                  <c:v>2000</c:v>
                </c:pt>
                <c:pt idx="5">
                  <c:v>2000</c:v>
                </c:pt>
                <c:pt idx="6">
                  <c:v>2556</c:v>
                </c:pt>
                <c:pt idx="7">
                  <c:v>2864</c:v>
                </c:pt>
                <c:pt idx="8">
                  <c:v>2656</c:v>
                </c:pt>
                <c:pt idx="9">
                  <c:v>3875</c:v>
                </c:pt>
                <c:pt idx="10">
                  <c:v>3752</c:v>
                </c:pt>
                <c:pt idx="11">
                  <c:v>3561</c:v>
                </c:pt>
                <c:pt idx="12">
                  <c:v>2907.25</c:v>
                </c:pt>
              </c:numCache>
            </c:numRef>
          </c:val>
          <c:smooth val="0"/>
        </c:ser>
        <c:marker val="1"/>
        <c:axId val="1187260"/>
        <c:axId val="10685341"/>
      </c:line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  <c:max val="5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Other Outpatient Visits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41225"/>
          <c:w val="0.092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HHA Visits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773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Sheet1!$A$212</c:f>
              <c:strCache>
                <c:ptCount val="1"/>
                <c:pt idx="0">
                  <c:v>HHA Visits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Sheet1!$B$212:$N$212</c:f>
              <c:numCache>
                <c:ptCount val="13"/>
                <c:pt idx="0">
                  <c:v>1220</c:v>
                </c:pt>
                <c:pt idx="1">
                  <c:v>1178</c:v>
                </c:pt>
                <c:pt idx="2">
                  <c:v>1385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Sheet1!$A$213</c:f>
              <c:strCache>
                <c:ptCount val="1"/>
                <c:pt idx="0">
                  <c:v>HHA Visits - 21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Sheet1!$B$213:$N$213</c:f>
              <c:numCache>
                <c:ptCount val="13"/>
                <c:pt idx="0">
                  <c:v>1314</c:v>
                </c:pt>
                <c:pt idx="1">
                  <c:v>1319</c:v>
                </c:pt>
                <c:pt idx="2">
                  <c:v>1337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1323.3333333333333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Sheet1!$A$214</c:f>
              <c:strCache>
                <c:ptCount val="1"/>
                <c:pt idx="0">
                  <c:v>HHA Visits - 20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Sheet1!$B$214:$N$214</c:f>
              <c:numCache>
                <c:ptCount val="13"/>
                <c:pt idx="0">
                  <c:v>1276</c:v>
                </c:pt>
                <c:pt idx="1">
                  <c:v>1281</c:v>
                </c:pt>
                <c:pt idx="2">
                  <c:v>1298</c:v>
                </c:pt>
                <c:pt idx="3">
                  <c:v>1382</c:v>
                </c:pt>
                <c:pt idx="4">
                  <c:v>1474</c:v>
                </c:pt>
                <c:pt idx="5">
                  <c:v>1673</c:v>
                </c:pt>
                <c:pt idx="6">
                  <c:v>1495</c:v>
                </c:pt>
                <c:pt idx="7">
                  <c:v>1409</c:v>
                </c:pt>
                <c:pt idx="8">
                  <c:v>1502</c:v>
                </c:pt>
                <c:pt idx="9">
                  <c:v>1238</c:v>
                </c:pt>
                <c:pt idx="10">
                  <c:v>1240</c:v>
                </c:pt>
                <c:pt idx="11">
                  <c:v>1368</c:v>
                </c:pt>
                <c:pt idx="12">
                  <c:v>1386.3333333333333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Sheet1!$A$215</c:f>
              <c:strCache>
                <c:ptCount val="1"/>
                <c:pt idx="0">
                  <c:v>HHA Visits - 19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Sheet1!$B$215:$N$215</c:f>
              <c:numCache>
                <c:ptCount val="13"/>
                <c:pt idx="0">
                  <c:v>672</c:v>
                </c:pt>
                <c:pt idx="1">
                  <c:v>712</c:v>
                </c:pt>
                <c:pt idx="2">
                  <c:v>907</c:v>
                </c:pt>
                <c:pt idx="3">
                  <c:v>1027</c:v>
                </c:pt>
                <c:pt idx="4">
                  <c:v>1145</c:v>
                </c:pt>
                <c:pt idx="5">
                  <c:v>1242</c:v>
                </c:pt>
                <c:pt idx="6">
                  <c:v>1404</c:v>
                </c:pt>
                <c:pt idx="7">
                  <c:v>1382</c:v>
                </c:pt>
                <c:pt idx="8">
                  <c:v>1276</c:v>
                </c:pt>
                <c:pt idx="9">
                  <c:v>1434</c:v>
                </c:pt>
                <c:pt idx="10">
                  <c:v>1268</c:v>
                </c:pt>
                <c:pt idx="11">
                  <c:v>1287</c:v>
                </c:pt>
                <c:pt idx="12">
                  <c:v>1146.3333333333333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Sheet1!$A$216</c:f>
              <c:strCache>
                <c:ptCount val="1"/>
                <c:pt idx="0">
                  <c:v>HHA Visits - 18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Sheet1!$B$216:$N$216</c:f>
              <c:numCache>
                <c:ptCount val="13"/>
                <c:pt idx="0">
                  <c:v>586</c:v>
                </c:pt>
                <c:pt idx="1">
                  <c:v>509</c:v>
                </c:pt>
                <c:pt idx="2">
                  <c:v>627</c:v>
                </c:pt>
                <c:pt idx="3">
                  <c:v>726</c:v>
                </c:pt>
                <c:pt idx="4">
                  <c:v>604</c:v>
                </c:pt>
                <c:pt idx="5">
                  <c:v>665</c:v>
                </c:pt>
                <c:pt idx="6">
                  <c:v>621</c:v>
                </c:pt>
                <c:pt idx="7">
                  <c:v>665</c:v>
                </c:pt>
                <c:pt idx="8">
                  <c:v>558</c:v>
                </c:pt>
                <c:pt idx="9">
                  <c:v>694</c:v>
                </c:pt>
                <c:pt idx="10">
                  <c:v>646</c:v>
                </c:pt>
                <c:pt idx="11">
                  <c:v>834</c:v>
                </c:pt>
                <c:pt idx="12">
                  <c:v>644.5833333333334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Sheet1!$A$217</c:f>
              <c:strCache>
                <c:ptCount val="1"/>
                <c:pt idx="0">
                  <c:v>HHA Visits - 17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Sheet1!$B$217:$N$217</c:f>
              <c:numCache>
                <c:ptCount val="13"/>
                <c:pt idx="0">
                  <c:v>668</c:v>
                </c:pt>
                <c:pt idx="1">
                  <c:v>648</c:v>
                </c:pt>
                <c:pt idx="2">
                  <c:v>676</c:v>
                </c:pt>
                <c:pt idx="3">
                  <c:v>596</c:v>
                </c:pt>
                <c:pt idx="4">
                  <c:v>935</c:v>
                </c:pt>
                <c:pt idx="5">
                  <c:v>769</c:v>
                </c:pt>
                <c:pt idx="6">
                  <c:v>779</c:v>
                </c:pt>
                <c:pt idx="7">
                  <c:v>564</c:v>
                </c:pt>
                <c:pt idx="8">
                  <c:v>620</c:v>
                </c:pt>
                <c:pt idx="9">
                  <c:v>769</c:v>
                </c:pt>
                <c:pt idx="10">
                  <c:v>743</c:v>
                </c:pt>
                <c:pt idx="11">
                  <c:v>645</c:v>
                </c:pt>
                <c:pt idx="12">
                  <c:v>701</c:v>
                </c:pt>
              </c:numCache>
            </c:numRef>
          </c:val>
          <c:smooth val="0"/>
        </c:ser>
        <c:marker val="1"/>
        <c:axId val="29059206"/>
        <c:axId val="60206263"/>
      </c:line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268"/>
          <c:w val="0.0817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CFC Visits</a:t>
            </a:r>
          </a:p>
        </c:rich>
      </c:tx>
      <c:layout>
        <c:manualLayout>
          <c:xMode val="factor"/>
          <c:yMode val="factor"/>
          <c:x val="-0.01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73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Sheet1!$A$227</c:f>
              <c:strCache>
                <c:ptCount val="1"/>
                <c:pt idx="0">
                  <c:v>CFC Visits - 21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Sheet1!$B$227:$N$227</c:f>
              <c:numCache>
                <c:ptCount val="13"/>
                <c:pt idx="0">
                  <c:v>3184</c:v>
                </c:pt>
                <c:pt idx="1">
                  <c:v>3060</c:v>
                </c:pt>
                <c:pt idx="2">
                  <c:v>2930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Sheet1!$A$228</c:f>
              <c:strCache>
                <c:ptCount val="1"/>
                <c:pt idx="0">
                  <c:v>W/C Visits - 21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Sheet1!$B$228:$N$228</c:f>
              <c:numCache>
                <c:ptCount val="13"/>
                <c:pt idx="0">
                  <c:v>690</c:v>
                </c:pt>
                <c:pt idx="1">
                  <c:v>365</c:v>
                </c:pt>
                <c:pt idx="2">
                  <c:v>457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Sheet1!$A$229</c:f>
              <c:strCache>
                <c:ptCount val="1"/>
                <c:pt idx="0">
                  <c:v>CFC Visits - 21 Bud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Sheet1!$B$229:$N$229</c:f>
              <c:numCache>
                <c:ptCount val="13"/>
                <c:pt idx="0">
                  <c:v>3886</c:v>
                </c:pt>
                <c:pt idx="1">
                  <c:v>3459</c:v>
                </c:pt>
                <c:pt idx="2">
                  <c:v>2573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Sheet1!$A$230</c:f>
              <c:strCache>
                <c:ptCount val="1"/>
                <c:pt idx="0">
                  <c:v>CFC Visits - 20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Sheet1!$B$230:$N$230</c:f>
              <c:numCache>
                <c:ptCount val="13"/>
                <c:pt idx="0">
                  <c:v>2968</c:v>
                </c:pt>
                <c:pt idx="1">
                  <c:v>2484</c:v>
                </c:pt>
                <c:pt idx="2">
                  <c:v>2038</c:v>
                </c:pt>
                <c:pt idx="3">
                  <c:v>1791</c:v>
                </c:pt>
                <c:pt idx="4">
                  <c:v>1919</c:v>
                </c:pt>
                <c:pt idx="5">
                  <c:v>2079</c:v>
                </c:pt>
                <c:pt idx="6">
                  <c:v>2376</c:v>
                </c:pt>
                <c:pt idx="7">
                  <c:v>2538</c:v>
                </c:pt>
                <c:pt idx="8">
                  <c:v>2566</c:v>
                </c:pt>
                <c:pt idx="9">
                  <c:v>2400</c:v>
                </c:pt>
                <c:pt idx="10">
                  <c:v>4342</c:v>
                </c:pt>
                <c:pt idx="11">
                  <c:v>2879</c:v>
                </c:pt>
                <c:pt idx="12">
                  <c:v>2531.6666666666665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Sheet1!$A$231</c:f>
              <c:strCache>
                <c:ptCount val="1"/>
                <c:pt idx="0">
                  <c:v>W/C Visits - 20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Sheet1!$B$231:$N$231</c:f>
              <c:numCache>
                <c:ptCount val="13"/>
                <c:pt idx="0">
                  <c:v>805</c:v>
                </c:pt>
                <c:pt idx="1">
                  <c:v>874</c:v>
                </c:pt>
                <c:pt idx="2">
                  <c:v>460</c:v>
                </c:pt>
                <c:pt idx="3">
                  <c:v>144</c:v>
                </c:pt>
                <c:pt idx="4">
                  <c:v>193</c:v>
                </c:pt>
                <c:pt idx="5">
                  <c:v>286</c:v>
                </c:pt>
                <c:pt idx="6">
                  <c:v>440</c:v>
                </c:pt>
                <c:pt idx="7">
                  <c:v>186</c:v>
                </c:pt>
                <c:pt idx="8">
                  <c:v>617</c:v>
                </c:pt>
                <c:pt idx="9">
                  <c:v>561</c:v>
                </c:pt>
                <c:pt idx="10">
                  <c:v>645</c:v>
                </c:pt>
                <c:pt idx="11">
                  <c:v>633</c:v>
                </c:pt>
                <c:pt idx="12">
                  <c:v>487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Sheet1!$A$232</c:f>
              <c:strCache>
                <c:ptCount val="1"/>
                <c:pt idx="0">
                  <c:v>CFC Visits - 19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Sheet1!$B$232:$N$232</c:f>
              <c:numCache>
                <c:ptCount val="13"/>
                <c:pt idx="0">
                  <c:v>2896</c:v>
                </c:pt>
                <c:pt idx="1">
                  <c:v>2603</c:v>
                </c:pt>
                <c:pt idx="2">
                  <c:v>2682</c:v>
                </c:pt>
                <c:pt idx="3">
                  <c:v>2746</c:v>
                </c:pt>
                <c:pt idx="4">
                  <c:v>2880</c:v>
                </c:pt>
                <c:pt idx="5">
                  <c:v>2144</c:v>
                </c:pt>
                <c:pt idx="6">
                  <c:v>2668</c:v>
                </c:pt>
                <c:pt idx="7">
                  <c:v>2972</c:v>
                </c:pt>
                <c:pt idx="8">
                  <c:v>2581</c:v>
                </c:pt>
                <c:pt idx="9">
                  <c:v>2850</c:v>
                </c:pt>
                <c:pt idx="10">
                  <c:v>2460</c:v>
                </c:pt>
                <c:pt idx="11">
                  <c:v>2640</c:v>
                </c:pt>
                <c:pt idx="12">
                  <c:v>2676.8333333333335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Sheet1!$A$233</c:f>
              <c:strCache>
                <c:ptCount val="1"/>
                <c:pt idx="0">
                  <c:v>W/C Visits - 19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Sheet1!$B$233:$N$233</c:f>
              <c:numCache>
                <c:ptCount val="13"/>
                <c:pt idx="0">
                  <c:v>635</c:v>
                </c:pt>
                <c:pt idx="1">
                  <c:v>850</c:v>
                </c:pt>
                <c:pt idx="2">
                  <c:v>648</c:v>
                </c:pt>
                <c:pt idx="3">
                  <c:v>344</c:v>
                </c:pt>
                <c:pt idx="4">
                  <c:v>390</c:v>
                </c:pt>
                <c:pt idx="5">
                  <c:v>392</c:v>
                </c:pt>
                <c:pt idx="6">
                  <c:v>336</c:v>
                </c:pt>
                <c:pt idx="7">
                  <c:v>405</c:v>
                </c:pt>
                <c:pt idx="8">
                  <c:v>483</c:v>
                </c:pt>
                <c:pt idx="9">
                  <c:v>517</c:v>
                </c:pt>
                <c:pt idx="10">
                  <c:v>606</c:v>
                </c:pt>
                <c:pt idx="11">
                  <c:v>825</c:v>
                </c:pt>
                <c:pt idx="12">
                  <c:v>535.9166666666666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Sheet1!$A$234</c:f>
              <c:strCache>
                <c:ptCount val="1"/>
                <c:pt idx="0">
                  <c:v>CFC Visits - 18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Sheet1!$B$234:$N$234</c:f>
              <c:numCache>
                <c:ptCount val="13"/>
                <c:pt idx="0">
                  <c:v>2623</c:v>
                </c:pt>
                <c:pt idx="1">
                  <c:v>2314</c:v>
                </c:pt>
                <c:pt idx="2">
                  <c:v>2245</c:v>
                </c:pt>
                <c:pt idx="3">
                  <c:v>2477</c:v>
                </c:pt>
                <c:pt idx="4">
                  <c:v>2374</c:v>
                </c:pt>
                <c:pt idx="5">
                  <c:v>2096</c:v>
                </c:pt>
                <c:pt idx="6">
                  <c:v>2247</c:v>
                </c:pt>
                <c:pt idx="7">
                  <c:v>2393</c:v>
                </c:pt>
                <c:pt idx="8">
                  <c:v>2802</c:v>
                </c:pt>
                <c:pt idx="9">
                  <c:v>2757</c:v>
                </c:pt>
                <c:pt idx="10">
                  <c:v>2539</c:v>
                </c:pt>
                <c:pt idx="11">
                  <c:v>2245</c:v>
                </c:pt>
                <c:pt idx="12">
                  <c:v>2426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Sheet1!$A$235</c:f>
              <c:strCache>
                <c:ptCount val="1"/>
                <c:pt idx="0">
                  <c:v>W/C Visits - 18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Sheet1!$B$235:$N$235</c:f>
              <c:numCache>
                <c:ptCount val="13"/>
                <c:pt idx="0">
                  <c:v>1245</c:v>
                </c:pt>
                <c:pt idx="1">
                  <c:v>981</c:v>
                </c:pt>
                <c:pt idx="2">
                  <c:v>714</c:v>
                </c:pt>
                <c:pt idx="3">
                  <c:v>493</c:v>
                </c:pt>
                <c:pt idx="4">
                  <c:v>548</c:v>
                </c:pt>
                <c:pt idx="5">
                  <c:v>553</c:v>
                </c:pt>
                <c:pt idx="6">
                  <c:v>535</c:v>
                </c:pt>
                <c:pt idx="7">
                  <c:v>612</c:v>
                </c:pt>
                <c:pt idx="8">
                  <c:v>675</c:v>
                </c:pt>
                <c:pt idx="9">
                  <c:v>470</c:v>
                </c:pt>
                <c:pt idx="10">
                  <c:v>422</c:v>
                </c:pt>
                <c:pt idx="11">
                  <c:v>636</c:v>
                </c:pt>
                <c:pt idx="12">
                  <c:v>657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Sheet1!$A$236</c:f>
              <c:strCache>
                <c:ptCount val="1"/>
                <c:pt idx="0">
                  <c:v>CFC Visits - 17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Sheet1!$B$236:$N$236</c:f>
              <c:numCache>
                <c:ptCount val="13"/>
                <c:pt idx="0">
                  <c:v>2900</c:v>
                </c:pt>
                <c:pt idx="1">
                  <c:v>2704</c:v>
                </c:pt>
                <c:pt idx="2">
                  <c:v>2494</c:v>
                </c:pt>
                <c:pt idx="3">
                  <c:v>1688</c:v>
                </c:pt>
                <c:pt idx="4">
                  <c:v>2058</c:v>
                </c:pt>
                <c:pt idx="5">
                  <c:v>2084</c:v>
                </c:pt>
                <c:pt idx="6">
                  <c:v>2023</c:v>
                </c:pt>
                <c:pt idx="7">
                  <c:v>2331</c:v>
                </c:pt>
                <c:pt idx="8">
                  <c:v>2217</c:v>
                </c:pt>
                <c:pt idx="9">
                  <c:v>2498</c:v>
                </c:pt>
                <c:pt idx="10">
                  <c:v>2426</c:v>
                </c:pt>
                <c:pt idx="11">
                  <c:v>2048</c:v>
                </c:pt>
                <c:pt idx="12">
                  <c:v>2289.25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Sheet1!$A$237</c:f>
              <c:strCache>
                <c:ptCount val="1"/>
                <c:pt idx="0">
                  <c:v>W/C Visits - 17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Sheet1!$B$226:$N$226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Sheet1!$B$237:$N$237</c:f>
              <c:numCache>
                <c:ptCount val="13"/>
                <c:pt idx="0">
                  <c:v>473</c:v>
                </c:pt>
                <c:pt idx="1">
                  <c:v>624</c:v>
                </c:pt>
                <c:pt idx="2">
                  <c:v>432</c:v>
                </c:pt>
                <c:pt idx="3">
                  <c:v>365</c:v>
                </c:pt>
                <c:pt idx="4">
                  <c:v>348</c:v>
                </c:pt>
                <c:pt idx="5">
                  <c:v>463</c:v>
                </c:pt>
                <c:pt idx="6">
                  <c:v>433</c:v>
                </c:pt>
                <c:pt idx="7">
                  <c:v>402</c:v>
                </c:pt>
                <c:pt idx="8">
                  <c:v>460</c:v>
                </c:pt>
                <c:pt idx="9">
                  <c:v>646</c:v>
                </c:pt>
                <c:pt idx="10">
                  <c:v>549</c:v>
                </c:pt>
                <c:pt idx="11">
                  <c:v>729</c:v>
                </c:pt>
                <c:pt idx="12">
                  <c:v>493.6666666666667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02"/>
          <c:w val="0.081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Ortho Visits</a:t>
            </a:r>
          </a:p>
        </c:rich>
      </c:tx>
      <c:layout>
        <c:manualLayout>
          <c:xMode val="factor"/>
          <c:yMode val="factor"/>
          <c:x val="-0.005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5"/>
          <c:w val="0.798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Sheet1!$A$248</c:f>
              <c:strCache>
                <c:ptCount val="1"/>
                <c:pt idx="0">
                  <c:v>Kerr Visits - 14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Sheet1!$B$248:$N$248</c:f>
            </c:numRef>
          </c:val>
          <c:smooth val="0"/>
        </c:ser>
        <c:ser>
          <c:idx val="1"/>
          <c:order val="1"/>
          <c:tx>
            <c:strRef>
              <c:f>Sheet1!$A$249</c:f>
              <c:strCache>
                <c:ptCount val="1"/>
                <c:pt idx="0">
                  <c:v>Kerr Visits - 14 Bud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Sheet1!$B$249:$N$249</c:f>
            </c:numRef>
          </c:val>
          <c:smooth val="0"/>
        </c:ser>
        <c:ser>
          <c:idx val="2"/>
          <c:order val="2"/>
          <c:tx>
            <c:strRef>
              <c:f>Sheet1!$A$250</c:f>
              <c:strCache>
                <c:ptCount val="1"/>
                <c:pt idx="0">
                  <c:v>Ortho Clinic Visits  - 21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Sheet1!$B$250:$N$250</c:f>
              <c:numCache>
                <c:ptCount val="13"/>
                <c:pt idx="0">
                  <c:v>183</c:v>
                </c:pt>
                <c:pt idx="1">
                  <c:v>197</c:v>
                </c:pt>
                <c:pt idx="2">
                  <c:v>259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Sheet1!$A$251</c:f>
              <c:strCache>
                <c:ptCount val="1"/>
                <c:pt idx="0">
                  <c:v>Ortho Clinic Visits  - 21 Bud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Sheet1!$B$251:$N$251</c:f>
              <c:numCache>
                <c:ptCount val="13"/>
                <c:pt idx="0">
                  <c:v>286</c:v>
                </c:pt>
                <c:pt idx="1">
                  <c:v>236</c:v>
                </c:pt>
                <c:pt idx="2">
                  <c:v>250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257.3333333333333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Sheet1!$A$252</c:f>
              <c:strCache>
                <c:ptCount val="1"/>
                <c:pt idx="0">
                  <c:v>Ortho Clinic Visits  - 20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Sheet1!$B$252:$N$252</c:f>
              <c:numCache>
                <c:ptCount val="13"/>
                <c:pt idx="0">
                  <c:v>278</c:v>
                </c:pt>
                <c:pt idx="1">
                  <c:v>229</c:v>
                </c:pt>
                <c:pt idx="2">
                  <c:v>243</c:v>
                </c:pt>
                <c:pt idx="3">
                  <c:v>149</c:v>
                </c:pt>
                <c:pt idx="4">
                  <c:v>209</c:v>
                </c:pt>
                <c:pt idx="5">
                  <c:v>239</c:v>
                </c:pt>
                <c:pt idx="6">
                  <c:v>251</c:v>
                </c:pt>
                <c:pt idx="7">
                  <c:v>245</c:v>
                </c:pt>
                <c:pt idx="8">
                  <c:v>269</c:v>
                </c:pt>
                <c:pt idx="9">
                  <c:v>228</c:v>
                </c:pt>
                <c:pt idx="10">
                  <c:v>213</c:v>
                </c:pt>
                <c:pt idx="11">
                  <c:v>182</c:v>
                </c:pt>
                <c:pt idx="12">
                  <c:v>227.91666666666666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Sheet1!$A$253</c:f>
              <c:strCache>
                <c:ptCount val="1"/>
                <c:pt idx="0">
                  <c:v>Ortho Clinic Visits  - 19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Sheet1!$B$253:$N$253</c:f>
              <c:numCache>
                <c:ptCount val="13"/>
                <c:pt idx="0">
                  <c:v>174</c:v>
                </c:pt>
                <c:pt idx="1">
                  <c:v>189</c:v>
                </c:pt>
                <c:pt idx="2">
                  <c:v>147</c:v>
                </c:pt>
                <c:pt idx="3">
                  <c:v>191</c:v>
                </c:pt>
                <c:pt idx="4">
                  <c:v>212</c:v>
                </c:pt>
                <c:pt idx="5">
                  <c:v>202</c:v>
                </c:pt>
                <c:pt idx="6">
                  <c:v>203</c:v>
                </c:pt>
                <c:pt idx="7">
                  <c:v>217</c:v>
                </c:pt>
                <c:pt idx="8">
                  <c:v>191</c:v>
                </c:pt>
                <c:pt idx="9">
                  <c:v>294</c:v>
                </c:pt>
                <c:pt idx="10">
                  <c:v>234</c:v>
                </c:pt>
                <c:pt idx="11">
                  <c:v>226</c:v>
                </c:pt>
                <c:pt idx="12">
                  <c:v>206.66666666666666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Sheet1!$A$254</c:f>
              <c:strCache>
                <c:ptCount val="1"/>
                <c:pt idx="0">
                  <c:v>Ortho Clinic Visits  - 18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Sheet1!$B$254:$N$254</c:f>
              <c:numCache>
                <c:ptCount val="13"/>
                <c:pt idx="0">
                  <c:v>170</c:v>
                </c:pt>
                <c:pt idx="1">
                  <c:v>174</c:v>
                </c:pt>
                <c:pt idx="2">
                  <c:v>190</c:v>
                </c:pt>
                <c:pt idx="3">
                  <c:v>208</c:v>
                </c:pt>
                <c:pt idx="4">
                  <c:v>233</c:v>
                </c:pt>
                <c:pt idx="5">
                  <c:v>183</c:v>
                </c:pt>
                <c:pt idx="6">
                  <c:v>178</c:v>
                </c:pt>
                <c:pt idx="7">
                  <c:v>207</c:v>
                </c:pt>
                <c:pt idx="8">
                  <c:v>193</c:v>
                </c:pt>
                <c:pt idx="9">
                  <c:v>206</c:v>
                </c:pt>
                <c:pt idx="10">
                  <c:v>190</c:v>
                </c:pt>
                <c:pt idx="11">
                  <c:v>107</c:v>
                </c:pt>
                <c:pt idx="12">
                  <c:v>186.58333333333334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Sheet1!$A$255</c:f>
              <c:strCache>
                <c:ptCount val="1"/>
                <c:pt idx="0">
                  <c:v>Ortho Clinic Visits  - 24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Sheet1!$B$255:$N$255</c:f>
            </c:numRef>
          </c:val>
          <c:smooth val="0"/>
        </c:ser>
        <c:ser>
          <c:idx val="8"/>
          <c:order val="8"/>
          <c:tx>
            <c:strRef>
              <c:f>Sheet1!$A$256</c:f>
              <c:strCache>
                <c:ptCount val="1"/>
                <c:pt idx="0">
                  <c:v>Ortho Clinic Visits  - 17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Sheet1!$B$247:$N$247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Sheet1!$B$256:$N$256</c:f>
              <c:numCache>
                <c:ptCount val="13"/>
                <c:pt idx="0">
                  <c:v>155</c:v>
                </c:pt>
                <c:pt idx="1">
                  <c:v>184</c:v>
                </c:pt>
                <c:pt idx="2">
                  <c:v>206</c:v>
                </c:pt>
                <c:pt idx="3">
                  <c:v>176</c:v>
                </c:pt>
                <c:pt idx="4">
                  <c:v>196</c:v>
                </c:pt>
                <c:pt idx="5">
                  <c:v>156</c:v>
                </c:pt>
                <c:pt idx="6">
                  <c:v>167</c:v>
                </c:pt>
                <c:pt idx="7">
                  <c:v>218</c:v>
                </c:pt>
                <c:pt idx="8">
                  <c:v>181</c:v>
                </c:pt>
                <c:pt idx="9">
                  <c:v>241</c:v>
                </c:pt>
                <c:pt idx="10">
                  <c:v>212</c:v>
                </c:pt>
                <c:pt idx="11">
                  <c:v>138</c:v>
                </c:pt>
                <c:pt idx="12">
                  <c:v>185.83333333333334</c:v>
                </c:pt>
              </c:numCache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8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At val="1"/>
        <c:crossBetween val="between"/>
        <c:dispUnits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035"/>
          <c:w val="0.097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96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42"/>
  <sheetViews>
    <sheetView zoomScalePageLayoutView="0" workbookViewId="0" topLeftCell="A199">
      <selection activeCell="C310" sqref="C310"/>
    </sheetView>
  </sheetViews>
  <sheetFormatPr defaultColWidth="9.140625" defaultRowHeight="12.75"/>
  <cols>
    <col min="1" max="1" width="22.7109375" style="0" customWidth="1"/>
    <col min="2" max="2" width="9.7109375" style="12" bestFit="1" customWidth="1"/>
    <col min="3" max="3" width="12.57421875" style="12" bestFit="1" customWidth="1"/>
    <col min="4" max="5" width="9.7109375" style="12" bestFit="1" customWidth="1"/>
    <col min="6" max="6" width="11.57421875" style="12" bestFit="1" customWidth="1"/>
    <col min="7" max="8" width="9.7109375" style="12" bestFit="1" customWidth="1"/>
    <col min="9" max="9" width="11.8515625" style="12" bestFit="1" customWidth="1"/>
    <col min="10" max="11" width="9.7109375" style="12" bestFit="1" customWidth="1"/>
    <col min="12" max="12" width="11.00390625" style="12" bestFit="1" customWidth="1"/>
    <col min="13" max="13" width="9.7109375" style="12" bestFit="1" customWidth="1"/>
    <col min="14" max="14" width="10.00390625" style="14" bestFit="1" customWidth="1"/>
    <col min="15" max="15" width="10.00390625" style="0" bestFit="1" customWidth="1"/>
    <col min="16" max="17" width="9.7109375" style="0" bestFit="1" customWidth="1"/>
    <col min="18" max="18" width="10.57421875" style="0" bestFit="1" customWidth="1"/>
    <col min="19" max="19" width="9.7109375" style="0" bestFit="1" customWidth="1"/>
    <col min="20" max="20" width="11.8515625" style="0" bestFit="1" customWidth="1"/>
    <col min="21" max="21" width="9.7109375" style="0" bestFit="1" customWidth="1"/>
    <col min="22" max="22" width="11.8515625" style="0" bestFit="1" customWidth="1"/>
    <col min="23" max="23" width="10.8515625" style="0" bestFit="1" customWidth="1"/>
    <col min="24" max="25" width="9.7109375" style="0" bestFit="1" customWidth="1"/>
    <col min="26" max="26" width="15.28125" style="0" customWidth="1"/>
    <col min="27" max="29" width="9.7109375" style="0" bestFit="1" customWidth="1"/>
    <col min="30" max="30" width="10.140625" style="0" bestFit="1" customWidth="1"/>
    <col min="31" max="31" width="16.8515625" style="0" bestFit="1" customWidth="1"/>
    <col min="32" max="32" width="9.7109375" style="0" bestFit="1" customWidth="1"/>
    <col min="33" max="33" width="10.7109375" style="0" bestFit="1" customWidth="1"/>
    <col min="34" max="34" width="14.421875" style="0" bestFit="1" customWidth="1"/>
    <col min="35" max="35" width="10.7109375" style="0" bestFit="1" customWidth="1"/>
    <col min="36" max="40" width="9.7109375" style="0" bestFit="1" customWidth="1"/>
    <col min="41" max="41" width="10.7109375" style="0" bestFit="1" customWidth="1"/>
    <col min="42" max="43" width="9.7109375" style="0" bestFit="1" customWidth="1"/>
    <col min="44" max="44" width="11.00390625" style="0" bestFit="1" customWidth="1"/>
    <col min="45" max="54" width="9.7109375" style="0" bestFit="1" customWidth="1"/>
    <col min="55" max="55" width="11.7109375" style="0" bestFit="1" customWidth="1"/>
    <col min="56" max="75" width="9.7109375" style="0" bestFit="1" customWidth="1"/>
    <col min="77" max="82" width="9.7109375" style="0" bestFit="1" customWidth="1"/>
    <col min="85" max="86" width="9.7109375" style="0" bestFit="1" customWidth="1"/>
  </cols>
  <sheetData>
    <row r="1" spans="2:17" ht="12.75">
      <c r="B1" s="7" t="s">
        <v>77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  <c r="J1" s="7" t="s">
        <v>85</v>
      </c>
      <c r="K1" s="7" t="s">
        <v>86</v>
      </c>
      <c r="L1" s="7" t="s">
        <v>87</v>
      </c>
      <c r="M1" s="7" t="s">
        <v>88</v>
      </c>
      <c r="N1" s="6" t="s">
        <v>119</v>
      </c>
      <c r="P1" s="7" t="s">
        <v>142</v>
      </c>
      <c r="Q1">
        <v>3</v>
      </c>
    </row>
    <row r="2" spans="1:16" ht="12.75">
      <c r="A2" s="15" t="s">
        <v>278</v>
      </c>
      <c r="B2" s="16">
        <v>257</v>
      </c>
      <c r="C2" s="16">
        <v>318</v>
      </c>
      <c r="D2" s="16">
        <v>317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3">
        <f>SUM(B2:M2)/Q$1</f>
        <v>297.3333333333333</v>
      </c>
      <c r="P2" s="7"/>
    </row>
    <row r="3" spans="1:14" ht="12.75">
      <c r="A3" s="15" t="s">
        <v>288</v>
      </c>
      <c r="B3" s="16">
        <v>520</v>
      </c>
      <c r="C3" s="16">
        <v>429</v>
      </c>
      <c r="D3" s="16">
        <v>334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3">
        <f>SUM(B3:M3)/Q$1</f>
        <v>427.6666666666667</v>
      </c>
    </row>
    <row r="4" spans="1:14" ht="12.75">
      <c r="A4" s="15" t="s">
        <v>247</v>
      </c>
      <c r="B4" s="16">
        <v>516</v>
      </c>
      <c r="C4" s="16">
        <v>431</v>
      </c>
      <c r="D4" s="16">
        <v>349</v>
      </c>
      <c r="E4" s="16">
        <v>60</v>
      </c>
      <c r="F4" s="16">
        <v>288</v>
      </c>
      <c r="G4" s="16">
        <v>382</v>
      </c>
      <c r="H4" s="16">
        <v>324</v>
      </c>
      <c r="I4" s="16">
        <v>309</v>
      </c>
      <c r="J4" s="16">
        <v>331</v>
      </c>
      <c r="K4" s="16">
        <v>316</v>
      </c>
      <c r="L4" s="16">
        <v>224</v>
      </c>
      <c r="M4" s="16">
        <v>364</v>
      </c>
      <c r="N4" s="13">
        <f aca="true" t="shared" si="0" ref="N4:N9">SUM(B4:M4)/12</f>
        <v>324.5</v>
      </c>
    </row>
    <row r="5" spans="1:14" ht="12.75">
      <c r="A5" s="15" t="s">
        <v>229</v>
      </c>
      <c r="B5" s="16">
        <v>424</v>
      </c>
      <c r="C5" s="16">
        <v>480</v>
      </c>
      <c r="D5" s="16">
        <v>512</v>
      </c>
      <c r="E5" s="16">
        <v>488</v>
      </c>
      <c r="F5" s="16">
        <v>448</v>
      </c>
      <c r="G5" s="16">
        <v>389</v>
      </c>
      <c r="H5" s="16">
        <v>590</v>
      </c>
      <c r="I5" s="16">
        <v>404</v>
      </c>
      <c r="J5" s="16">
        <v>553</v>
      </c>
      <c r="K5" s="16">
        <v>407</v>
      </c>
      <c r="L5" s="16">
        <v>405</v>
      </c>
      <c r="M5" s="16">
        <v>371</v>
      </c>
      <c r="N5" s="13">
        <f t="shared" si="0"/>
        <v>455.9166666666667</v>
      </c>
    </row>
    <row r="6" spans="1:16" ht="12.75">
      <c r="A6" s="15" t="s">
        <v>210</v>
      </c>
      <c r="B6" s="16">
        <v>852</v>
      </c>
      <c r="C6" s="16">
        <v>818</v>
      </c>
      <c r="D6" s="16">
        <v>1002</v>
      </c>
      <c r="E6" s="16">
        <v>704</v>
      </c>
      <c r="F6" s="16">
        <v>926</v>
      </c>
      <c r="G6" s="16">
        <v>943</v>
      </c>
      <c r="H6" s="16">
        <v>539</v>
      </c>
      <c r="I6" s="16">
        <v>673</v>
      </c>
      <c r="J6" s="16">
        <v>494</v>
      </c>
      <c r="K6" s="16">
        <v>508</v>
      </c>
      <c r="L6" s="16">
        <v>419</v>
      </c>
      <c r="M6" s="16">
        <v>501</v>
      </c>
      <c r="N6" s="13">
        <f t="shared" si="0"/>
        <v>698.25</v>
      </c>
      <c r="P6" s="7"/>
    </row>
    <row r="7" spans="1:14" ht="12.75">
      <c r="A7" s="15" t="s">
        <v>189</v>
      </c>
      <c r="B7" s="16">
        <v>590</v>
      </c>
      <c r="C7" s="16">
        <v>451</v>
      </c>
      <c r="D7" s="16">
        <v>455</v>
      </c>
      <c r="E7" s="16">
        <v>458</v>
      </c>
      <c r="F7" s="16">
        <v>651</v>
      </c>
      <c r="G7" s="16">
        <v>626</v>
      </c>
      <c r="H7" s="16">
        <v>537</v>
      </c>
      <c r="I7" s="16">
        <v>821</v>
      </c>
      <c r="J7" s="16">
        <v>725</v>
      </c>
      <c r="K7" s="16">
        <v>924</v>
      </c>
      <c r="L7" s="16">
        <v>646</v>
      </c>
      <c r="M7" s="16">
        <v>642</v>
      </c>
      <c r="N7" s="13">
        <f t="shared" si="0"/>
        <v>627.1666666666666</v>
      </c>
    </row>
    <row r="8" spans="1:16" ht="12.75" hidden="1">
      <c r="A8" s="15" t="s">
        <v>172</v>
      </c>
      <c r="B8" s="16">
        <v>372</v>
      </c>
      <c r="C8" s="16">
        <v>450</v>
      </c>
      <c r="D8" s="16">
        <v>379</v>
      </c>
      <c r="E8" s="16">
        <v>465</v>
      </c>
      <c r="F8" s="16">
        <v>326</v>
      </c>
      <c r="G8" s="16">
        <v>367</v>
      </c>
      <c r="H8" s="16">
        <v>283</v>
      </c>
      <c r="I8" s="16">
        <v>347</v>
      </c>
      <c r="J8" s="16">
        <v>315</v>
      </c>
      <c r="K8" s="16">
        <f>43*9</f>
        <v>387</v>
      </c>
      <c r="L8" s="16">
        <f>51*9.5</f>
        <v>484.5</v>
      </c>
      <c r="M8" s="16">
        <v>634</v>
      </c>
      <c r="N8" s="13">
        <f t="shared" si="0"/>
        <v>400.7916666666667</v>
      </c>
      <c r="P8" s="7"/>
    </row>
    <row r="9" spans="1:16" ht="12.75" hidden="1">
      <c r="A9" t="s">
        <v>143</v>
      </c>
      <c r="B9" s="8">
        <v>304</v>
      </c>
      <c r="C9" s="8">
        <v>402</v>
      </c>
      <c r="D9" s="8">
        <v>336</v>
      </c>
      <c r="E9" s="8">
        <v>302</v>
      </c>
      <c r="F9" s="8">
        <v>340</v>
      </c>
      <c r="G9" s="8">
        <v>293</v>
      </c>
      <c r="H9" s="8">
        <v>290</v>
      </c>
      <c r="I9" s="8">
        <v>292</v>
      </c>
      <c r="J9" s="8">
        <v>250</v>
      </c>
      <c r="K9" s="8">
        <v>285</v>
      </c>
      <c r="L9" s="8">
        <v>279</v>
      </c>
      <c r="M9" s="8">
        <v>323</v>
      </c>
      <c r="N9" s="13">
        <f t="shared" si="0"/>
        <v>308</v>
      </c>
      <c r="P9" s="7"/>
    </row>
    <row r="10" spans="1:14" ht="12.75" hidden="1">
      <c r="A10" t="s">
        <v>121</v>
      </c>
      <c r="B10" s="8">
        <v>381</v>
      </c>
      <c r="C10" s="8">
        <v>366</v>
      </c>
      <c r="D10" s="8">
        <v>320</v>
      </c>
      <c r="E10" s="8">
        <v>307</v>
      </c>
      <c r="F10" s="8">
        <v>302</v>
      </c>
      <c r="G10" s="8">
        <v>330</v>
      </c>
      <c r="H10" s="8">
        <v>288</v>
      </c>
      <c r="I10" s="8">
        <v>370</v>
      </c>
      <c r="J10" s="8">
        <v>252</v>
      </c>
      <c r="K10" s="8">
        <v>335</v>
      </c>
      <c r="L10" s="8">
        <v>253</v>
      </c>
      <c r="M10" s="8">
        <v>271</v>
      </c>
      <c r="N10" s="13">
        <v>314.5833333333333</v>
      </c>
    </row>
    <row r="11" spans="1:14" ht="12.75" hidden="1">
      <c r="A11" t="s">
        <v>97</v>
      </c>
      <c r="B11" s="8">
        <v>400</v>
      </c>
      <c r="C11" s="8">
        <v>370</v>
      </c>
      <c r="D11" s="8">
        <v>399</v>
      </c>
      <c r="E11" s="8">
        <v>431</v>
      </c>
      <c r="F11" s="8">
        <v>360</v>
      </c>
      <c r="G11" s="8">
        <v>355</v>
      </c>
      <c r="H11" s="8">
        <v>397</v>
      </c>
      <c r="I11" s="8">
        <v>401</v>
      </c>
      <c r="J11" s="8">
        <v>341</v>
      </c>
      <c r="K11" s="8">
        <v>370</v>
      </c>
      <c r="L11" s="8">
        <v>281</v>
      </c>
      <c r="M11" s="8">
        <v>358</v>
      </c>
      <c r="N11" s="13">
        <v>371.9166666666667</v>
      </c>
    </row>
    <row r="12" spans="1:14" ht="12.75" hidden="1">
      <c r="A12" t="s">
        <v>57</v>
      </c>
      <c r="B12" s="9">
        <v>449</v>
      </c>
      <c r="C12" s="9">
        <v>434</v>
      </c>
      <c r="D12" s="9">
        <v>437</v>
      </c>
      <c r="E12" s="9">
        <v>502</v>
      </c>
      <c r="F12" s="9">
        <v>430</v>
      </c>
      <c r="G12" s="9">
        <v>421</v>
      </c>
      <c r="H12" s="9">
        <v>446</v>
      </c>
      <c r="I12" s="9">
        <v>371</v>
      </c>
      <c r="J12" s="9">
        <v>454</v>
      </c>
      <c r="K12" s="9">
        <v>370</v>
      </c>
      <c r="L12" s="9">
        <v>334</v>
      </c>
      <c r="M12" s="9">
        <v>387</v>
      </c>
      <c r="N12" s="13">
        <v>419.5833333333333</v>
      </c>
    </row>
    <row r="13" spans="1:14" ht="12.75" hidden="1">
      <c r="A13" t="s">
        <v>3</v>
      </c>
      <c r="B13" s="8">
        <v>298</v>
      </c>
      <c r="C13" s="8">
        <v>301</v>
      </c>
      <c r="D13" s="8">
        <v>237</v>
      </c>
      <c r="E13" s="8">
        <v>344</v>
      </c>
      <c r="F13" s="8">
        <v>406</v>
      </c>
      <c r="G13" s="8">
        <v>381</v>
      </c>
      <c r="H13" s="8">
        <v>377</v>
      </c>
      <c r="I13" s="8">
        <v>375</v>
      </c>
      <c r="J13" s="8">
        <v>366</v>
      </c>
      <c r="K13" s="8">
        <v>372</v>
      </c>
      <c r="L13" s="8">
        <v>331</v>
      </c>
      <c r="M13" s="8">
        <v>329</v>
      </c>
      <c r="N13" s="13">
        <v>343.0833333333333</v>
      </c>
    </row>
    <row r="14" spans="1:14" ht="12.75" hidden="1">
      <c r="A14" t="s">
        <v>2</v>
      </c>
      <c r="B14" s="8">
        <v>317</v>
      </c>
      <c r="C14" s="8">
        <v>284</v>
      </c>
      <c r="D14" s="8">
        <v>363</v>
      </c>
      <c r="E14" s="8">
        <v>307</v>
      </c>
      <c r="F14" s="8">
        <v>273</v>
      </c>
      <c r="G14" s="8">
        <v>375</v>
      </c>
      <c r="H14" s="8">
        <v>294</v>
      </c>
      <c r="I14" s="8">
        <v>268</v>
      </c>
      <c r="J14" s="8">
        <v>267</v>
      </c>
      <c r="K14" s="8">
        <v>308</v>
      </c>
      <c r="L14" s="8">
        <v>243</v>
      </c>
      <c r="M14" s="8">
        <v>317</v>
      </c>
      <c r="N14" s="13">
        <v>301.3333333333333</v>
      </c>
    </row>
    <row r="15" spans="1:13" ht="12.75" hidden="1">
      <c r="A15" t="s">
        <v>1</v>
      </c>
      <c r="B15" s="8">
        <v>329.0106617706085</v>
      </c>
      <c r="C15" s="8">
        <v>262.8755369019598</v>
      </c>
      <c r="D15" s="8">
        <v>329.5075719123057</v>
      </c>
      <c r="E15" s="8">
        <v>272.2291903226738</v>
      </c>
      <c r="F15" s="8">
        <v>322.7648378448228</v>
      </c>
      <c r="G15" s="8">
        <v>306.0292924534912</v>
      </c>
      <c r="H15" s="8">
        <v>292.2952528075913</v>
      </c>
      <c r="I15" s="8">
        <v>345.43991481824634</v>
      </c>
      <c r="J15" s="8">
        <v>383.02912473742003</v>
      </c>
      <c r="K15" s="8">
        <v>275.00135292501346</v>
      </c>
      <c r="L15" s="8">
        <v>336.2155228318576</v>
      </c>
      <c r="M15" s="8">
        <v>307.52476424457814</v>
      </c>
    </row>
    <row r="16" spans="2:14" ht="12.75">
      <c r="B16" s="7" t="s">
        <v>77</v>
      </c>
      <c r="C16" s="7" t="s">
        <v>78</v>
      </c>
      <c r="D16" s="7" t="s">
        <v>79</v>
      </c>
      <c r="E16" s="7" t="s">
        <v>80</v>
      </c>
      <c r="F16" s="7" t="s">
        <v>81</v>
      </c>
      <c r="G16" s="7" t="s">
        <v>82</v>
      </c>
      <c r="H16" s="7" t="s">
        <v>83</v>
      </c>
      <c r="I16" s="7" t="s">
        <v>84</v>
      </c>
      <c r="J16" s="7" t="s">
        <v>85</v>
      </c>
      <c r="K16" s="7" t="s">
        <v>86</v>
      </c>
      <c r="L16" s="7" t="s">
        <v>87</v>
      </c>
      <c r="M16" s="7" t="s">
        <v>88</v>
      </c>
      <c r="N16" s="6" t="s">
        <v>119</v>
      </c>
    </row>
    <row r="17" spans="1:14" ht="12.75">
      <c r="A17" s="15" t="s">
        <v>279</v>
      </c>
      <c r="B17" s="16">
        <v>53.68</v>
      </c>
      <c r="C17" s="16">
        <v>43.33</v>
      </c>
      <c r="D17" s="16">
        <v>40.5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3">
        <f>SUM(B17:M17)/Q$1</f>
        <v>45.836666666666666</v>
      </c>
    </row>
    <row r="18" spans="1:14" ht="12.75">
      <c r="A18" s="15" t="s">
        <v>289</v>
      </c>
      <c r="B18" s="16">
        <v>62.75</v>
      </c>
      <c r="C18" s="16">
        <v>60.97</v>
      </c>
      <c r="D18" s="16">
        <v>48.07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3">
        <f>SUM(B18:M18)/Q$1</f>
        <v>57.26333333333333</v>
      </c>
    </row>
    <row r="19" spans="1:14" ht="12.75">
      <c r="A19" s="15" t="s">
        <v>248</v>
      </c>
      <c r="B19" s="16">
        <v>63.06</v>
      </c>
      <c r="C19" s="16">
        <v>61.92</v>
      </c>
      <c r="D19" s="16">
        <v>50.81</v>
      </c>
      <c r="E19" s="16">
        <v>37.51</v>
      </c>
      <c r="F19" s="16">
        <v>34.66</v>
      </c>
      <c r="G19" s="16">
        <v>54.59</v>
      </c>
      <c r="H19" s="16">
        <v>39.31</v>
      </c>
      <c r="I19" s="16">
        <v>40</v>
      </c>
      <c r="J19" s="16">
        <v>49.76</v>
      </c>
      <c r="K19" s="16">
        <v>33.32</v>
      </c>
      <c r="L19" s="16">
        <v>39.64</v>
      </c>
      <c r="M19" s="16">
        <v>52.23</v>
      </c>
      <c r="N19" s="13">
        <f aca="true" t="shared" si="1" ref="N19:N24">SUM(B19:M19)/12</f>
        <v>46.40083333333333</v>
      </c>
    </row>
    <row r="20" spans="1:14" ht="12.75">
      <c r="A20" s="15" t="s">
        <v>230</v>
      </c>
      <c r="B20" s="16">
        <v>50.19</v>
      </c>
      <c r="C20" s="16">
        <v>68.5</v>
      </c>
      <c r="D20" s="16">
        <v>63.57</v>
      </c>
      <c r="E20" s="16">
        <v>50.3</v>
      </c>
      <c r="F20" s="16">
        <v>70.83</v>
      </c>
      <c r="G20" s="16">
        <v>66.08</v>
      </c>
      <c r="H20" s="16">
        <v>79.33</v>
      </c>
      <c r="I20" s="16">
        <v>57.57</v>
      </c>
      <c r="J20" s="16">
        <v>84.48</v>
      </c>
      <c r="K20" s="16">
        <v>54.43</v>
      </c>
      <c r="L20" s="16">
        <v>57.12</v>
      </c>
      <c r="M20" s="16">
        <v>52.34</v>
      </c>
      <c r="N20" s="13">
        <f t="shared" si="1"/>
        <v>62.89499999999999</v>
      </c>
    </row>
    <row r="21" spans="1:14" ht="12.75">
      <c r="A21" s="15" t="s">
        <v>211</v>
      </c>
      <c r="B21" s="16">
        <v>90.33</v>
      </c>
      <c r="C21" s="16">
        <v>80.2</v>
      </c>
      <c r="D21" s="16">
        <v>81.75</v>
      </c>
      <c r="E21" s="16">
        <v>72.18</v>
      </c>
      <c r="F21" s="16">
        <v>72.7</v>
      </c>
      <c r="G21" s="16">
        <v>97.22</v>
      </c>
      <c r="H21" s="16">
        <v>67.38</v>
      </c>
      <c r="I21" s="16">
        <v>55.99</v>
      </c>
      <c r="J21" s="16">
        <v>45.5</v>
      </c>
      <c r="K21" s="16">
        <v>50.81</v>
      </c>
      <c r="L21" s="16">
        <v>47.83</v>
      </c>
      <c r="M21" s="16">
        <v>54.34</v>
      </c>
      <c r="N21" s="13">
        <f t="shared" si="1"/>
        <v>68.01916666666666</v>
      </c>
    </row>
    <row r="22" spans="1:14" ht="12.75">
      <c r="A22" s="15" t="s">
        <v>190</v>
      </c>
      <c r="B22" s="16">
        <v>53.85</v>
      </c>
      <c r="C22" s="16">
        <v>64.95</v>
      </c>
      <c r="D22" s="16">
        <v>51.97</v>
      </c>
      <c r="E22" s="16">
        <v>58.51</v>
      </c>
      <c r="F22" s="16">
        <v>57.8</v>
      </c>
      <c r="G22" s="16">
        <v>54.95</v>
      </c>
      <c r="H22" s="16">
        <v>48.13</v>
      </c>
      <c r="I22" s="16">
        <v>90.79</v>
      </c>
      <c r="J22" s="16">
        <v>77</v>
      </c>
      <c r="K22" s="16">
        <v>114.34</v>
      </c>
      <c r="L22" s="16">
        <v>132.7</v>
      </c>
      <c r="M22" s="16">
        <v>114.96</v>
      </c>
      <c r="N22" s="13">
        <f t="shared" si="1"/>
        <v>76.66250000000001</v>
      </c>
    </row>
    <row r="23" spans="1:14" ht="12.75" hidden="1">
      <c r="A23" s="15" t="s">
        <v>173</v>
      </c>
      <c r="B23" s="16">
        <v>38.44</v>
      </c>
      <c r="C23" s="16">
        <v>53.1</v>
      </c>
      <c r="D23" s="16">
        <v>39.05</v>
      </c>
      <c r="E23" s="16">
        <v>47.97</v>
      </c>
      <c r="F23" s="16">
        <v>37.6</v>
      </c>
      <c r="G23" s="16">
        <v>36.41</v>
      </c>
      <c r="H23" s="16">
        <v>28.95</v>
      </c>
      <c r="I23" s="16">
        <v>37.53</v>
      </c>
      <c r="J23" s="16">
        <v>36.78</v>
      </c>
      <c r="K23" s="16">
        <f>4.77*9</f>
        <v>42.92999999999999</v>
      </c>
      <c r="L23" s="16">
        <f>5.73*9.5</f>
        <v>54.435</v>
      </c>
      <c r="M23" s="16">
        <v>63.84</v>
      </c>
      <c r="N23" s="13">
        <f t="shared" si="1"/>
        <v>43.08625</v>
      </c>
    </row>
    <row r="24" spans="1:14" ht="12.75" hidden="1">
      <c r="A24" t="s">
        <v>144</v>
      </c>
      <c r="B24" s="8">
        <v>38.74</v>
      </c>
      <c r="C24" s="8">
        <v>49.3</v>
      </c>
      <c r="D24" s="8">
        <v>41.78</v>
      </c>
      <c r="E24" s="8">
        <v>32.47</v>
      </c>
      <c r="F24" s="8">
        <v>30.33</v>
      </c>
      <c r="G24" s="8">
        <v>31.27</v>
      </c>
      <c r="H24" s="8">
        <v>30.15</v>
      </c>
      <c r="I24" s="8">
        <v>38.27</v>
      </c>
      <c r="J24" s="8">
        <v>27.02</v>
      </c>
      <c r="K24" s="8">
        <v>41.13</v>
      </c>
      <c r="L24" s="8">
        <v>30.44</v>
      </c>
      <c r="M24" s="8">
        <v>31.04</v>
      </c>
      <c r="N24" s="13">
        <f t="shared" si="1"/>
        <v>35.16166666666667</v>
      </c>
    </row>
    <row r="25" spans="1:14" ht="12.75" hidden="1">
      <c r="A25" t="s">
        <v>122</v>
      </c>
      <c r="B25" s="8">
        <v>37.32</v>
      </c>
      <c r="C25" s="8">
        <v>45.78</v>
      </c>
      <c r="D25" s="8">
        <v>36.31</v>
      </c>
      <c r="E25" s="8">
        <v>32.21</v>
      </c>
      <c r="F25" s="8">
        <v>33.9</v>
      </c>
      <c r="G25" s="8">
        <v>34.36</v>
      </c>
      <c r="H25" s="8">
        <v>31.64</v>
      </c>
      <c r="I25" s="8">
        <v>41.21</v>
      </c>
      <c r="J25" s="8">
        <v>33.12</v>
      </c>
      <c r="K25" s="8">
        <v>36.78</v>
      </c>
      <c r="L25" s="8">
        <v>27.67</v>
      </c>
      <c r="M25" s="8">
        <v>33.87</v>
      </c>
      <c r="N25" s="13">
        <v>35.3475</v>
      </c>
    </row>
    <row r="26" spans="1:14" ht="12.75" hidden="1">
      <c r="A26" t="s">
        <v>98</v>
      </c>
      <c r="B26" s="8">
        <v>40.87</v>
      </c>
      <c r="C26" s="8">
        <v>42</v>
      </c>
      <c r="D26" s="8">
        <v>40</v>
      </c>
      <c r="E26" s="8">
        <v>39.6</v>
      </c>
      <c r="F26" s="8">
        <v>37.19</v>
      </c>
      <c r="G26" s="8">
        <v>41.27</v>
      </c>
      <c r="H26" s="8">
        <v>40.04</v>
      </c>
      <c r="I26" s="8">
        <v>36.61</v>
      </c>
      <c r="J26" s="8">
        <v>35.51</v>
      </c>
      <c r="K26" s="8">
        <v>37.67</v>
      </c>
      <c r="L26" s="8">
        <v>33.53</v>
      </c>
      <c r="M26" s="8">
        <v>34.45</v>
      </c>
      <c r="N26" s="13">
        <v>38.22833333333334</v>
      </c>
    </row>
    <row r="27" spans="1:14" ht="12.75" hidden="1">
      <c r="A27" t="s">
        <v>58</v>
      </c>
      <c r="B27" s="9">
        <v>38</v>
      </c>
      <c r="C27" s="9">
        <v>42</v>
      </c>
      <c r="D27" s="9">
        <v>41</v>
      </c>
      <c r="E27" s="9">
        <v>36</v>
      </c>
      <c r="F27" s="9">
        <v>39</v>
      </c>
      <c r="G27" s="9">
        <v>38</v>
      </c>
      <c r="H27" s="9">
        <v>41</v>
      </c>
      <c r="I27" s="9">
        <v>42</v>
      </c>
      <c r="J27" s="9">
        <v>45</v>
      </c>
      <c r="K27" s="9">
        <v>36</v>
      </c>
      <c r="L27" s="9">
        <v>35</v>
      </c>
      <c r="M27" s="9">
        <v>33</v>
      </c>
      <c r="N27" s="13">
        <v>38.833333333333336</v>
      </c>
    </row>
    <row r="28" spans="1:14" ht="12.75" hidden="1">
      <c r="A28" t="s">
        <v>19</v>
      </c>
      <c r="B28" s="8">
        <v>35</v>
      </c>
      <c r="C28" s="8">
        <v>37</v>
      </c>
      <c r="D28" s="8">
        <v>25</v>
      </c>
      <c r="E28" s="8">
        <v>37</v>
      </c>
      <c r="F28" s="8">
        <v>37</v>
      </c>
      <c r="G28" s="8">
        <v>32</v>
      </c>
      <c r="H28" s="8">
        <v>35</v>
      </c>
      <c r="I28" s="8">
        <v>35</v>
      </c>
      <c r="J28" s="8">
        <v>40</v>
      </c>
      <c r="K28" s="8">
        <v>36</v>
      </c>
      <c r="L28" s="8">
        <v>36</v>
      </c>
      <c r="M28" s="8">
        <v>29</v>
      </c>
      <c r="N28" s="13">
        <v>34.5</v>
      </c>
    </row>
    <row r="29" spans="1:14" ht="12.75" hidden="1">
      <c r="A29" t="s">
        <v>20</v>
      </c>
      <c r="B29" s="8">
        <v>33</v>
      </c>
      <c r="C29" s="8">
        <v>36</v>
      </c>
      <c r="D29" s="8">
        <v>37</v>
      </c>
      <c r="E29" s="8">
        <v>30</v>
      </c>
      <c r="F29" s="8">
        <v>32</v>
      </c>
      <c r="G29" s="8">
        <v>36</v>
      </c>
      <c r="H29" s="8">
        <v>33</v>
      </c>
      <c r="I29" s="8">
        <v>27</v>
      </c>
      <c r="J29" s="8">
        <v>32</v>
      </c>
      <c r="K29" s="8">
        <v>29</v>
      </c>
      <c r="L29" s="8">
        <v>28</v>
      </c>
      <c r="M29" s="8">
        <v>34</v>
      </c>
      <c r="N29" s="13">
        <v>32.25</v>
      </c>
    </row>
    <row r="30" spans="1:13" ht="12.75" hidden="1">
      <c r="A30" t="s">
        <v>21</v>
      </c>
      <c r="B30" s="8">
        <v>30</v>
      </c>
      <c r="C30" s="8">
        <v>33</v>
      </c>
      <c r="D30" s="8">
        <v>30</v>
      </c>
      <c r="E30" s="8">
        <v>26</v>
      </c>
      <c r="F30" s="8">
        <v>27</v>
      </c>
      <c r="G30" s="8">
        <v>27</v>
      </c>
      <c r="H30" s="8">
        <v>26</v>
      </c>
      <c r="I30" s="8">
        <v>30</v>
      </c>
      <c r="J30" s="8">
        <v>35</v>
      </c>
      <c r="K30" s="8">
        <v>28</v>
      </c>
      <c r="L30" s="8">
        <v>32</v>
      </c>
      <c r="M30" s="8">
        <v>27</v>
      </c>
    </row>
    <row r="31" spans="2:14" ht="12.75">
      <c r="B31" s="7" t="s">
        <v>77</v>
      </c>
      <c r="C31" s="7" t="s">
        <v>78</v>
      </c>
      <c r="D31" s="7" t="s">
        <v>79</v>
      </c>
      <c r="E31" s="7" t="s">
        <v>80</v>
      </c>
      <c r="F31" s="7" t="s">
        <v>81</v>
      </c>
      <c r="G31" s="7" t="s">
        <v>82</v>
      </c>
      <c r="H31" s="7" t="s">
        <v>83</v>
      </c>
      <c r="I31" s="7" t="s">
        <v>84</v>
      </c>
      <c r="J31" s="7" t="s">
        <v>85</v>
      </c>
      <c r="K31" s="7" t="s">
        <v>86</v>
      </c>
      <c r="L31" s="7" t="s">
        <v>87</v>
      </c>
      <c r="M31" s="7" t="s">
        <v>88</v>
      </c>
      <c r="N31" s="6" t="s">
        <v>119</v>
      </c>
    </row>
    <row r="32" spans="1:14" ht="12.75">
      <c r="A32" s="15" t="s">
        <v>280</v>
      </c>
      <c r="B32" s="16">
        <v>8</v>
      </c>
      <c r="C32" s="16">
        <v>8</v>
      </c>
      <c r="D32" s="16">
        <v>11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3">
        <f>SUM(B32:M32)/Q$1</f>
        <v>9</v>
      </c>
    </row>
    <row r="33" spans="1:14" ht="12.75">
      <c r="A33" s="15" t="s">
        <v>290</v>
      </c>
      <c r="B33" s="16">
        <v>14</v>
      </c>
      <c r="C33" s="16">
        <v>5</v>
      </c>
      <c r="D33" s="16">
        <v>10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3">
        <f>SUM(B33:M33)/Q$1</f>
        <v>9.666666666666666</v>
      </c>
    </row>
    <row r="34" spans="1:14" ht="12.75">
      <c r="A34" s="15" t="s">
        <v>249</v>
      </c>
      <c r="B34" s="16">
        <v>14</v>
      </c>
      <c r="C34" s="16">
        <v>5</v>
      </c>
      <c r="D34" s="16">
        <v>10</v>
      </c>
      <c r="E34" s="16">
        <v>14</v>
      </c>
      <c r="F34" s="16">
        <v>15</v>
      </c>
      <c r="G34" s="16">
        <v>11</v>
      </c>
      <c r="H34" s="16">
        <v>17</v>
      </c>
      <c r="I34" s="16">
        <v>12</v>
      </c>
      <c r="J34" s="16">
        <v>18</v>
      </c>
      <c r="K34" s="16">
        <v>15</v>
      </c>
      <c r="L34" s="16">
        <v>16</v>
      </c>
      <c r="M34" s="16">
        <v>12</v>
      </c>
      <c r="N34" s="13">
        <f aca="true" t="shared" si="2" ref="N34:N39">SUM(B34:M34)/12</f>
        <v>13.25</v>
      </c>
    </row>
    <row r="35" spans="1:14" ht="12.75">
      <c r="A35" s="15" t="s">
        <v>231</v>
      </c>
      <c r="B35" s="16">
        <v>14</v>
      </c>
      <c r="C35" s="16">
        <v>15</v>
      </c>
      <c r="D35" s="16">
        <v>15</v>
      </c>
      <c r="E35" s="16">
        <v>18</v>
      </c>
      <c r="F35" s="16">
        <v>10</v>
      </c>
      <c r="G35" s="16">
        <v>9</v>
      </c>
      <c r="H35" s="16">
        <v>7</v>
      </c>
      <c r="I35" s="16">
        <v>19</v>
      </c>
      <c r="J35" s="16">
        <v>10</v>
      </c>
      <c r="K35" s="16">
        <v>14</v>
      </c>
      <c r="L35" s="16">
        <v>18</v>
      </c>
      <c r="M35" s="16">
        <v>8</v>
      </c>
      <c r="N35" s="13">
        <f t="shared" si="2"/>
        <v>13.083333333333334</v>
      </c>
    </row>
    <row r="36" spans="1:14" ht="12.75">
      <c r="A36" s="15" t="s">
        <v>212</v>
      </c>
      <c r="B36" s="16">
        <v>9</v>
      </c>
      <c r="C36" s="16">
        <v>12</v>
      </c>
      <c r="D36" s="16">
        <v>8</v>
      </c>
      <c r="E36" s="16">
        <v>10</v>
      </c>
      <c r="F36" s="16">
        <v>10</v>
      </c>
      <c r="G36" s="16">
        <v>16</v>
      </c>
      <c r="H36" s="16">
        <v>8</v>
      </c>
      <c r="I36" s="16">
        <v>18</v>
      </c>
      <c r="J36" s="16">
        <v>12</v>
      </c>
      <c r="K36" s="16">
        <v>11</v>
      </c>
      <c r="L36" s="16">
        <v>18</v>
      </c>
      <c r="M36" s="16">
        <v>16</v>
      </c>
      <c r="N36" s="13">
        <f t="shared" si="2"/>
        <v>12.333333333333334</v>
      </c>
    </row>
    <row r="37" spans="1:14" ht="12.75">
      <c r="A37" s="15" t="s">
        <v>209</v>
      </c>
      <c r="B37" s="16">
        <v>16</v>
      </c>
      <c r="C37" s="16">
        <v>14</v>
      </c>
      <c r="D37" s="16">
        <v>13</v>
      </c>
      <c r="E37" s="16">
        <v>7</v>
      </c>
      <c r="F37" s="16">
        <v>20</v>
      </c>
      <c r="G37" s="16">
        <v>17</v>
      </c>
      <c r="H37" s="16">
        <v>17</v>
      </c>
      <c r="I37" s="16">
        <v>6</v>
      </c>
      <c r="J37" s="16">
        <v>14</v>
      </c>
      <c r="K37" s="16">
        <v>11</v>
      </c>
      <c r="L37" s="16">
        <v>18</v>
      </c>
      <c r="M37" s="16">
        <v>14</v>
      </c>
      <c r="N37" s="13">
        <f t="shared" si="2"/>
        <v>13.916666666666666</v>
      </c>
    </row>
    <row r="38" spans="1:14" ht="12.75" hidden="1">
      <c r="A38" s="15" t="s">
        <v>174</v>
      </c>
      <c r="B38" s="16">
        <v>17</v>
      </c>
      <c r="C38" s="16">
        <v>11</v>
      </c>
      <c r="D38" s="16">
        <v>14</v>
      </c>
      <c r="E38" s="16">
        <v>15</v>
      </c>
      <c r="F38" s="16">
        <v>18</v>
      </c>
      <c r="G38" s="16">
        <v>14</v>
      </c>
      <c r="H38" s="16">
        <v>19</v>
      </c>
      <c r="I38" s="16">
        <v>12</v>
      </c>
      <c r="J38" s="16">
        <v>18</v>
      </c>
      <c r="K38" s="16">
        <v>10</v>
      </c>
      <c r="L38" s="16">
        <v>14</v>
      </c>
      <c r="M38" s="16">
        <v>26</v>
      </c>
      <c r="N38" s="13">
        <f t="shared" si="2"/>
        <v>15.666666666666666</v>
      </c>
    </row>
    <row r="39" spans="1:14" ht="12.75" hidden="1">
      <c r="A39" t="s">
        <v>145</v>
      </c>
      <c r="B39" s="8">
        <v>19</v>
      </c>
      <c r="C39" s="8">
        <v>14</v>
      </c>
      <c r="D39" s="8">
        <v>14</v>
      </c>
      <c r="E39" s="8">
        <v>16</v>
      </c>
      <c r="F39" s="8">
        <v>14</v>
      </c>
      <c r="G39" s="8">
        <v>19</v>
      </c>
      <c r="H39" s="8">
        <v>13</v>
      </c>
      <c r="I39" s="8">
        <v>15</v>
      </c>
      <c r="J39" s="8">
        <v>22</v>
      </c>
      <c r="K39" s="8">
        <v>11</v>
      </c>
      <c r="L39" s="8">
        <v>19</v>
      </c>
      <c r="M39" s="8">
        <v>14</v>
      </c>
      <c r="N39" s="13">
        <f t="shared" si="2"/>
        <v>15.833333333333334</v>
      </c>
    </row>
    <row r="40" spans="1:14" ht="12.75" hidden="1">
      <c r="A40" t="s">
        <v>123</v>
      </c>
      <c r="B40" s="8">
        <v>15</v>
      </c>
      <c r="C40" s="8">
        <v>13</v>
      </c>
      <c r="D40" s="8">
        <v>27</v>
      </c>
      <c r="E40" s="8">
        <v>12</v>
      </c>
      <c r="F40" s="8">
        <v>14</v>
      </c>
      <c r="G40" s="8">
        <v>16</v>
      </c>
      <c r="H40" s="8">
        <v>14</v>
      </c>
      <c r="I40" s="8">
        <v>14</v>
      </c>
      <c r="J40" s="8">
        <v>19</v>
      </c>
      <c r="K40" s="8">
        <v>19</v>
      </c>
      <c r="L40" s="8">
        <v>19</v>
      </c>
      <c r="M40" s="8">
        <v>23</v>
      </c>
      <c r="N40" s="13">
        <v>17</v>
      </c>
    </row>
    <row r="41" spans="1:14" ht="12.75" hidden="1">
      <c r="A41" t="s">
        <v>99</v>
      </c>
      <c r="B41" s="8">
        <v>12</v>
      </c>
      <c r="C41" s="8">
        <v>21</v>
      </c>
      <c r="D41" s="8">
        <v>20</v>
      </c>
      <c r="E41" s="8">
        <v>19</v>
      </c>
      <c r="F41" s="8">
        <v>16</v>
      </c>
      <c r="G41" s="8">
        <v>21</v>
      </c>
      <c r="H41" s="8">
        <v>26</v>
      </c>
      <c r="I41" s="8">
        <v>18</v>
      </c>
      <c r="J41" s="8">
        <v>17</v>
      </c>
      <c r="K41" s="8">
        <v>16</v>
      </c>
      <c r="L41" s="8">
        <v>19</v>
      </c>
      <c r="M41" s="8">
        <v>17</v>
      </c>
      <c r="N41" s="13">
        <v>18.5</v>
      </c>
    </row>
    <row r="42" spans="1:14" ht="12.75" hidden="1">
      <c r="A42" t="s">
        <v>75</v>
      </c>
      <c r="B42" s="9">
        <v>19</v>
      </c>
      <c r="C42" s="9">
        <v>24</v>
      </c>
      <c r="D42" s="9">
        <v>14</v>
      </c>
      <c r="E42" s="9">
        <v>13</v>
      </c>
      <c r="F42" s="9">
        <v>18</v>
      </c>
      <c r="G42" s="9">
        <v>15</v>
      </c>
      <c r="H42" s="9">
        <v>33</v>
      </c>
      <c r="I42" s="9">
        <v>6</v>
      </c>
      <c r="J42" s="9">
        <v>21</v>
      </c>
      <c r="K42" s="9">
        <v>15</v>
      </c>
      <c r="L42" s="9">
        <v>14</v>
      </c>
      <c r="M42" s="9">
        <v>19</v>
      </c>
      <c r="N42" s="13">
        <v>17.583333333333332</v>
      </c>
    </row>
    <row r="43" spans="1:14" ht="12.75" hidden="1">
      <c r="A43" t="s">
        <v>22</v>
      </c>
      <c r="B43" s="8">
        <v>25</v>
      </c>
      <c r="C43" s="8">
        <v>22</v>
      </c>
      <c r="D43" s="8">
        <v>15</v>
      </c>
      <c r="E43" s="8">
        <v>16</v>
      </c>
      <c r="F43" s="8">
        <v>13</v>
      </c>
      <c r="G43" s="8">
        <v>10</v>
      </c>
      <c r="H43" s="8">
        <v>19</v>
      </c>
      <c r="I43" s="8">
        <v>20</v>
      </c>
      <c r="J43" s="8">
        <v>21</v>
      </c>
      <c r="K43" s="8">
        <v>23</v>
      </c>
      <c r="L43" s="8">
        <v>19</v>
      </c>
      <c r="M43" s="8">
        <v>18</v>
      </c>
      <c r="N43" s="13">
        <v>18.416666666666668</v>
      </c>
    </row>
    <row r="44" spans="1:14" ht="12.75" hidden="1">
      <c r="A44" t="s">
        <v>23</v>
      </c>
      <c r="B44" s="8">
        <v>10</v>
      </c>
      <c r="C44" s="8">
        <v>7</v>
      </c>
      <c r="D44" s="8">
        <v>12</v>
      </c>
      <c r="E44" s="8">
        <v>16</v>
      </c>
      <c r="F44" s="8">
        <v>12</v>
      </c>
      <c r="G44" s="8">
        <v>15</v>
      </c>
      <c r="H44" s="8">
        <v>13</v>
      </c>
      <c r="I44" s="8">
        <v>11</v>
      </c>
      <c r="J44" s="8">
        <v>9</v>
      </c>
      <c r="K44" s="8">
        <v>12</v>
      </c>
      <c r="L44" s="8">
        <v>15</v>
      </c>
      <c r="M44" s="8">
        <v>20</v>
      </c>
      <c r="N44" s="13">
        <v>12.666666666666666</v>
      </c>
    </row>
    <row r="45" spans="1:13" ht="12.75" hidden="1">
      <c r="A45" t="s">
        <v>24</v>
      </c>
      <c r="B45" s="8">
        <v>12</v>
      </c>
      <c r="C45" s="8">
        <v>16</v>
      </c>
      <c r="D45" s="8">
        <v>24</v>
      </c>
      <c r="E45" s="8">
        <v>7</v>
      </c>
      <c r="F45" s="8">
        <v>13</v>
      </c>
      <c r="G45" s="8">
        <v>8</v>
      </c>
      <c r="H45" s="8">
        <v>11</v>
      </c>
      <c r="I45" s="8">
        <v>18</v>
      </c>
      <c r="J45" s="8">
        <v>18</v>
      </c>
      <c r="K45" s="8">
        <v>21</v>
      </c>
      <c r="L45" s="8">
        <v>12</v>
      </c>
      <c r="M45" s="8">
        <v>17</v>
      </c>
    </row>
    <row r="46" spans="2:14" ht="12.75">
      <c r="B46" s="7" t="s">
        <v>77</v>
      </c>
      <c r="C46" s="7" t="s">
        <v>78</v>
      </c>
      <c r="D46" s="7" t="s">
        <v>79</v>
      </c>
      <c r="E46" s="7" t="s">
        <v>80</v>
      </c>
      <c r="F46" s="7" t="s">
        <v>81</v>
      </c>
      <c r="G46" s="7" t="s">
        <v>82</v>
      </c>
      <c r="H46" s="7" t="s">
        <v>83</v>
      </c>
      <c r="I46" s="7" t="s">
        <v>84</v>
      </c>
      <c r="J46" s="7" t="s">
        <v>85</v>
      </c>
      <c r="K46" s="7" t="s">
        <v>86</v>
      </c>
      <c r="L46" s="7" t="s">
        <v>87</v>
      </c>
      <c r="M46" s="7" t="s">
        <v>88</v>
      </c>
      <c r="N46" s="6" t="s">
        <v>119</v>
      </c>
    </row>
    <row r="47" spans="1:14" ht="12.75">
      <c r="A47" s="15" t="s">
        <v>281</v>
      </c>
      <c r="B47" s="16">
        <v>43</v>
      </c>
      <c r="C47" s="16">
        <v>60</v>
      </c>
      <c r="D47" s="16">
        <v>73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3">
        <f>SUM(B47:M47)/Q$1</f>
        <v>58.666666666666664</v>
      </c>
    </row>
    <row r="48" spans="1:14" ht="12.75">
      <c r="A48" s="15" t="s">
        <v>291</v>
      </c>
      <c r="B48" s="16">
        <v>84</v>
      </c>
      <c r="C48" s="16">
        <v>71</v>
      </c>
      <c r="D48" s="16">
        <v>41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3">
        <f>SUM(B48:M48)/Q$1</f>
        <v>65.33333333333333</v>
      </c>
    </row>
    <row r="49" spans="1:14" ht="12.75">
      <c r="A49" s="15" t="s">
        <v>250</v>
      </c>
      <c r="B49" s="16">
        <v>82</v>
      </c>
      <c r="C49" s="16">
        <v>69</v>
      </c>
      <c r="D49" s="16">
        <v>40</v>
      </c>
      <c r="E49" s="16">
        <v>18</v>
      </c>
      <c r="F49" s="16">
        <v>36</v>
      </c>
      <c r="G49" s="16">
        <v>82</v>
      </c>
      <c r="H49" s="16">
        <v>49</v>
      </c>
      <c r="I49" s="16">
        <v>60</v>
      </c>
      <c r="J49" s="16">
        <v>54</v>
      </c>
      <c r="K49" s="16">
        <v>31</v>
      </c>
      <c r="L49" s="16">
        <v>52</v>
      </c>
      <c r="M49" s="16">
        <v>58</v>
      </c>
      <c r="N49" s="13">
        <f aca="true" t="shared" si="3" ref="N49:N54">SUM(B49:M49)/12</f>
        <v>52.583333333333336</v>
      </c>
    </row>
    <row r="50" spans="1:14" ht="12.75">
      <c r="A50" s="15" t="s">
        <v>232</v>
      </c>
      <c r="B50" s="16">
        <v>74</v>
      </c>
      <c r="C50" s="16">
        <v>83</v>
      </c>
      <c r="D50" s="16">
        <v>61</v>
      </c>
      <c r="E50" s="16">
        <v>53</v>
      </c>
      <c r="F50" s="16">
        <v>70</v>
      </c>
      <c r="G50" s="16">
        <v>59</v>
      </c>
      <c r="H50" s="16">
        <v>66</v>
      </c>
      <c r="I50" s="16">
        <v>62</v>
      </c>
      <c r="J50" s="16">
        <v>70</v>
      </c>
      <c r="K50" s="16">
        <v>78</v>
      </c>
      <c r="L50" s="16">
        <v>68</v>
      </c>
      <c r="M50" s="16">
        <v>57</v>
      </c>
      <c r="N50" s="13">
        <f t="shared" si="3"/>
        <v>66.75</v>
      </c>
    </row>
    <row r="51" spans="1:14" ht="12.75">
      <c r="A51" s="15" t="s">
        <v>213</v>
      </c>
      <c r="B51" s="16">
        <v>65</v>
      </c>
      <c r="C51" s="16">
        <v>82</v>
      </c>
      <c r="D51" s="16">
        <v>65</v>
      </c>
      <c r="E51" s="16">
        <v>81</v>
      </c>
      <c r="F51" s="16">
        <v>55</v>
      </c>
      <c r="G51" s="16">
        <v>82</v>
      </c>
      <c r="H51" s="16">
        <v>52</v>
      </c>
      <c r="I51" s="16">
        <v>86</v>
      </c>
      <c r="J51" s="16">
        <v>58</v>
      </c>
      <c r="K51" s="16">
        <v>72</v>
      </c>
      <c r="L51" s="16">
        <v>91</v>
      </c>
      <c r="M51" s="16">
        <v>72</v>
      </c>
      <c r="N51" s="13">
        <f t="shared" si="3"/>
        <v>71.75</v>
      </c>
    </row>
    <row r="52" spans="1:14" ht="12.75">
      <c r="A52" s="15" t="s">
        <v>191</v>
      </c>
      <c r="B52" s="16">
        <v>67</v>
      </c>
      <c r="C52" s="16">
        <v>87</v>
      </c>
      <c r="D52" s="16">
        <v>95</v>
      </c>
      <c r="E52" s="16">
        <v>75</v>
      </c>
      <c r="F52" s="16">
        <v>63</v>
      </c>
      <c r="G52" s="16">
        <v>51</v>
      </c>
      <c r="H52" s="16">
        <v>53</v>
      </c>
      <c r="I52" s="16">
        <v>83</v>
      </c>
      <c r="J52" s="16">
        <v>82</v>
      </c>
      <c r="K52" s="16">
        <v>89</v>
      </c>
      <c r="L52" s="16">
        <v>64</v>
      </c>
      <c r="M52" s="16">
        <v>64</v>
      </c>
      <c r="N52" s="13">
        <f t="shared" si="3"/>
        <v>72.75</v>
      </c>
    </row>
    <row r="53" spans="1:14" ht="12.75" hidden="1">
      <c r="A53" s="15" t="s">
        <v>175</v>
      </c>
      <c r="B53" s="16">
        <v>78</v>
      </c>
      <c r="C53" s="16">
        <v>108</v>
      </c>
      <c r="D53" s="16">
        <v>77</v>
      </c>
      <c r="E53" s="16">
        <v>148</v>
      </c>
      <c r="F53" s="16">
        <v>83</v>
      </c>
      <c r="G53" s="16">
        <v>90</v>
      </c>
      <c r="H53" s="16">
        <v>75</v>
      </c>
      <c r="I53" s="16">
        <v>89</v>
      </c>
      <c r="J53" s="16">
        <v>94</v>
      </c>
      <c r="K53" s="16">
        <v>109</v>
      </c>
      <c r="L53" s="16">
        <v>70</v>
      </c>
      <c r="M53" s="16">
        <v>88</v>
      </c>
      <c r="N53" s="13">
        <f t="shared" si="3"/>
        <v>92.41666666666667</v>
      </c>
    </row>
    <row r="54" spans="1:14" ht="12.75" hidden="1">
      <c r="A54" t="s">
        <v>146</v>
      </c>
      <c r="B54" s="8">
        <v>66</v>
      </c>
      <c r="C54" s="8">
        <v>65</v>
      </c>
      <c r="D54" s="8">
        <v>69</v>
      </c>
      <c r="E54" s="8">
        <v>59</v>
      </c>
      <c r="F54" s="8">
        <v>62</v>
      </c>
      <c r="G54" s="8">
        <v>63</v>
      </c>
      <c r="H54" s="8">
        <v>53</v>
      </c>
      <c r="I54" s="8">
        <v>68</v>
      </c>
      <c r="J54" s="8">
        <v>59</v>
      </c>
      <c r="K54" s="8">
        <v>74</v>
      </c>
      <c r="L54" s="8">
        <v>83</v>
      </c>
      <c r="M54" s="8">
        <v>77</v>
      </c>
      <c r="N54" s="13">
        <f t="shared" si="3"/>
        <v>66.5</v>
      </c>
    </row>
    <row r="55" spans="1:14" ht="12.75" hidden="1">
      <c r="A55" t="s">
        <v>124</v>
      </c>
      <c r="B55" s="8">
        <v>46</v>
      </c>
      <c r="C55" s="8">
        <v>44</v>
      </c>
      <c r="D55" s="8">
        <v>49</v>
      </c>
      <c r="E55" s="8">
        <v>59</v>
      </c>
      <c r="F55" s="8">
        <v>56</v>
      </c>
      <c r="G55" s="8">
        <v>59</v>
      </c>
      <c r="H55" s="8">
        <v>47</v>
      </c>
      <c r="I55" s="8">
        <v>79</v>
      </c>
      <c r="J55" s="8">
        <v>60</v>
      </c>
      <c r="K55" s="8">
        <v>61</v>
      </c>
      <c r="L55" s="8">
        <v>53</v>
      </c>
      <c r="M55" s="8">
        <v>72</v>
      </c>
      <c r="N55" s="13">
        <v>57.083333333333336</v>
      </c>
    </row>
    <row r="56" spans="1:14" ht="12.75" hidden="1">
      <c r="A56" t="s">
        <v>100</v>
      </c>
      <c r="B56" s="8">
        <v>78</v>
      </c>
      <c r="C56" s="8">
        <v>63</v>
      </c>
      <c r="D56" s="8">
        <v>74</v>
      </c>
      <c r="E56" s="8">
        <v>80</v>
      </c>
      <c r="F56" s="8">
        <v>74</v>
      </c>
      <c r="G56" s="8">
        <v>70</v>
      </c>
      <c r="H56" s="8">
        <v>71</v>
      </c>
      <c r="I56" s="8">
        <v>114</v>
      </c>
      <c r="J56" s="8">
        <v>96</v>
      </c>
      <c r="K56" s="8">
        <v>82</v>
      </c>
      <c r="L56" s="8">
        <v>63</v>
      </c>
      <c r="M56" s="8">
        <v>63</v>
      </c>
      <c r="N56" s="13">
        <v>77.33333333333333</v>
      </c>
    </row>
    <row r="57" spans="1:14" ht="12.75" hidden="1">
      <c r="A57" t="s">
        <v>76</v>
      </c>
      <c r="B57" s="9">
        <v>44</v>
      </c>
      <c r="C57" s="9">
        <v>37</v>
      </c>
      <c r="D57" s="9">
        <v>44</v>
      </c>
      <c r="E57" s="9">
        <v>32</v>
      </c>
      <c r="F57" s="9">
        <f>53+9</f>
        <v>62</v>
      </c>
      <c r="G57" s="9">
        <v>60</v>
      </c>
      <c r="H57" s="9">
        <v>60</v>
      </c>
      <c r="I57" s="9">
        <v>63</v>
      </c>
      <c r="J57" s="9">
        <v>54</v>
      </c>
      <c r="K57" s="9">
        <v>65</v>
      </c>
      <c r="L57" s="9">
        <v>52</v>
      </c>
      <c r="M57" s="9">
        <v>97</v>
      </c>
      <c r="N57" s="13">
        <v>55.833333333333336</v>
      </c>
    </row>
    <row r="58" spans="1:14" ht="12.75" hidden="1">
      <c r="A58" t="s">
        <v>25</v>
      </c>
      <c r="B58" s="8">
        <v>36</v>
      </c>
      <c r="C58" s="8">
        <v>20</v>
      </c>
      <c r="D58" s="8">
        <v>30</v>
      </c>
      <c r="E58" s="8">
        <v>37</v>
      </c>
      <c r="F58" s="8">
        <v>52</v>
      </c>
      <c r="G58" s="8">
        <v>33</v>
      </c>
      <c r="H58" s="8">
        <v>30</v>
      </c>
      <c r="I58" s="8">
        <v>36</v>
      </c>
      <c r="J58" s="8">
        <v>39</v>
      </c>
      <c r="K58" s="8">
        <v>53</v>
      </c>
      <c r="L58" s="8">
        <v>30</v>
      </c>
      <c r="M58" s="8">
        <v>27</v>
      </c>
      <c r="N58" s="13">
        <v>35.25</v>
      </c>
    </row>
    <row r="59" spans="1:14" ht="12.75" hidden="1">
      <c r="A59" t="s">
        <v>26</v>
      </c>
      <c r="B59" s="8">
        <v>28</v>
      </c>
      <c r="C59" s="8">
        <v>45</v>
      </c>
      <c r="D59" s="8">
        <v>41</v>
      </c>
      <c r="E59" s="8">
        <v>53</v>
      </c>
      <c r="F59" s="8">
        <v>38</v>
      </c>
      <c r="G59" s="8">
        <v>33</v>
      </c>
      <c r="H59" s="8">
        <v>21</v>
      </c>
      <c r="I59" s="8">
        <v>43</v>
      </c>
      <c r="J59" s="8">
        <v>48</v>
      </c>
      <c r="K59" s="8">
        <v>46</v>
      </c>
      <c r="L59" s="8">
        <v>28</v>
      </c>
      <c r="M59" s="8">
        <v>26</v>
      </c>
      <c r="N59" s="13">
        <v>37.5</v>
      </c>
    </row>
    <row r="60" spans="1:13" ht="12.75" hidden="1">
      <c r="A60" t="s">
        <v>27</v>
      </c>
      <c r="B60" s="8">
        <v>33</v>
      </c>
      <c r="C60" s="8">
        <v>36</v>
      </c>
      <c r="D60" s="8">
        <v>32</v>
      </c>
      <c r="E60" s="8">
        <v>42</v>
      </c>
      <c r="F60" s="8">
        <v>44</v>
      </c>
      <c r="G60" s="8">
        <v>39</v>
      </c>
      <c r="H60" s="8">
        <v>44</v>
      </c>
      <c r="I60" s="8">
        <v>40</v>
      </c>
      <c r="J60" s="8">
        <v>49</v>
      </c>
      <c r="K60" s="8">
        <v>50</v>
      </c>
      <c r="L60" s="8">
        <v>43</v>
      </c>
      <c r="M60" s="8">
        <v>40</v>
      </c>
    </row>
    <row r="61" spans="2:14" ht="12.75">
      <c r="B61" s="7" t="s">
        <v>77</v>
      </c>
      <c r="C61" s="7" t="s">
        <v>78</v>
      </c>
      <c r="D61" s="7" t="s">
        <v>79</v>
      </c>
      <c r="E61" s="7" t="s">
        <v>80</v>
      </c>
      <c r="F61" s="7" t="s">
        <v>81</v>
      </c>
      <c r="G61" s="7" t="s">
        <v>82</v>
      </c>
      <c r="H61" s="7" t="s">
        <v>83</v>
      </c>
      <c r="I61" s="7" t="s">
        <v>84</v>
      </c>
      <c r="J61" s="7" t="s">
        <v>85</v>
      </c>
      <c r="K61" s="7" t="s">
        <v>86</v>
      </c>
      <c r="L61" s="7" t="s">
        <v>87</v>
      </c>
      <c r="M61" s="7" t="s">
        <v>88</v>
      </c>
      <c r="N61" s="6" t="s">
        <v>119</v>
      </c>
    </row>
    <row r="62" spans="1:14" ht="12.75">
      <c r="A62" s="15" t="s">
        <v>282</v>
      </c>
      <c r="B62" s="16">
        <v>611</v>
      </c>
      <c r="C62" s="16">
        <v>454</v>
      </c>
      <c r="D62" s="16">
        <v>585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3">
        <f>SUM(B62:M62)/Q$1</f>
        <v>550</v>
      </c>
    </row>
    <row r="63" spans="1:14" ht="12.75">
      <c r="A63" s="15" t="s">
        <v>292</v>
      </c>
      <c r="B63" s="16">
        <v>752</v>
      </c>
      <c r="C63" s="16">
        <v>732</v>
      </c>
      <c r="D63" s="16">
        <v>633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3">
        <f>SUM(B63:M63)/Q$1</f>
        <v>705.6666666666666</v>
      </c>
    </row>
    <row r="64" spans="1:14" ht="12.75">
      <c r="A64" s="15" t="s">
        <v>251</v>
      </c>
      <c r="B64" s="16">
        <v>730</v>
      </c>
      <c r="C64" s="16">
        <v>711</v>
      </c>
      <c r="D64" s="16">
        <v>615</v>
      </c>
      <c r="E64" s="16">
        <v>376</v>
      </c>
      <c r="F64" s="16">
        <v>474</v>
      </c>
      <c r="G64" s="16">
        <v>509</v>
      </c>
      <c r="H64" s="16">
        <v>582</v>
      </c>
      <c r="I64" s="16">
        <v>577</v>
      </c>
      <c r="J64" s="16">
        <v>644</v>
      </c>
      <c r="K64" s="16">
        <v>624</v>
      </c>
      <c r="L64" s="16">
        <v>559</v>
      </c>
      <c r="M64" s="16">
        <v>574</v>
      </c>
      <c r="N64" s="13">
        <f aca="true" t="shared" si="4" ref="N64:N69">SUM(B64:M64)/12</f>
        <v>581.25</v>
      </c>
    </row>
    <row r="65" spans="1:14" ht="12.75">
      <c r="A65" s="15" t="s">
        <v>233</v>
      </c>
      <c r="B65" s="16">
        <v>607</v>
      </c>
      <c r="C65" s="16">
        <v>641</v>
      </c>
      <c r="D65" s="16">
        <v>679</v>
      </c>
      <c r="E65" s="16">
        <v>561</v>
      </c>
      <c r="F65" s="16">
        <v>709</v>
      </c>
      <c r="G65" s="16">
        <v>676</v>
      </c>
      <c r="H65" s="16">
        <v>681</v>
      </c>
      <c r="I65" s="16">
        <v>714</v>
      </c>
      <c r="J65" s="16">
        <v>692</v>
      </c>
      <c r="K65" s="16">
        <v>664</v>
      </c>
      <c r="L65" s="16">
        <v>688</v>
      </c>
      <c r="M65" s="16">
        <v>813</v>
      </c>
      <c r="N65" s="13">
        <f t="shared" si="4"/>
        <v>677.0833333333334</v>
      </c>
    </row>
    <row r="66" spans="1:14" ht="12.75">
      <c r="A66" s="15" t="s">
        <v>214</v>
      </c>
      <c r="B66" s="16">
        <v>738</v>
      </c>
      <c r="C66" s="16">
        <v>651</v>
      </c>
      <c r="D66" s="16">
        <v>614</v>
      </c>
      <c r="E66" s="16">
        <v>551</v>
      </c>
      <c r="F66" s="16">
        <v>580</v>
      </c>
      <c r="G66" s="16">
        <v>647</v>
      </c>
      <c r="H66" s="16">
        <v>594</v>
      </c>
      <c r="I66" s="16">
        <v>581</v>
      </c>
      <c r="J66" s="16">
        <v>564</v>
      </c>
      <c r="K66" s="16">
        <v>568</v>
      </c>
      <c r="L66" s="16">
        <v>529</v>
      </c>
      <c r="M66" s="16">
        <v>552</v>
      </c>
      <c r="N66" s="13">
        <f t="shared" si="4"/>
        <v>597.4166666666666</v>
      </c>
    </row>
    <row r="67" spans="1:14" ht="12.75">
      <c r="A67" s="15" t="s">
        <v>192</v>
      </c>
      <c r="B67" s="16">
        <v>779</v>
      </c>
      <c r="C67" s="16">
        <v>776</v>
      </c>
      <c r="D67" s="16">
        <v>755</v>
      </c>
      <c r="E67" s="16">
        <v>732</v>
      </c>
      <c r="F67" s="16">
        <v>641</v>
      </c>
      <c r="G67" s="16">
        <v>567</v>
      </c>
      <c r="H67" s="16">
        <v>674</v>
      </c>
      <c r="I67" s="16">
        <v>640</v>
      </c>
      <c r="J67" s="16">
        <v>640</v>
      </c>
      <c r="K67" s="16">
        <v>590</v>
      </c>
      <c r="L67" s="16">
        <v>642</v>
      </c>
      <c r="M67" s="16">
        <v>631</v>
      </c>
      <c r="N67" s="13">
        <f t="shared" si="4"/>
        <v>672.25</v>
      </c>
    </row>
    <row r="68" spans="1:14" ht="12.75" hidden="1">
      <c r="A68" s="15" t="s">
        <v>176</v>
      </c>
      <c r="B68" s="16">
        <v>660</v>
      </c>
      <c r="C68" s="16">
        <v>734</v>
      </c>
      <c r="D68" s="16">
        <v>739</v>
      </c>
      <c r="E68" s="16">
        <v>701</v>
      </c>
      <c r="F68" s="16">
        <v>669</v>
      </c>
      <c r="G68" s="16">
        <v>615</v>
      </c>
      <c r="H68" s="16">
        <v>661</v>
      </c>
      <c r="I68" s="16">
        <v>632</v>
      </c>
      <c r="J68" s="16">
        <v>702</v>
      </c>
      <c r="K68" s="16">
        <v>682</v>
      </c>
      <c r="L68" s="16">
        <v>643</v>
      </c>
      <c r="M68" s="16">
        <v>612</v>
      </c>
      <c r="N68" s="13">
        <f t="shared" si="4"/>
        <v>670.8333333333334</v>
      </c>
    </row>
    <row r="69" spans="1:14" ht="12.75" hidden="1">
      <c r="A69" t="s">
        <v>147</v>
      </c>
      <c r="B69" s="8">
        <v>718</v>
      </c>
      <c r="C69" s="8">
        <v>684</v>
      </c>
      <c r="D69" s="8">
        <v>695</v>
      </c>
      <c r="E69" s="8">
        <v>653</v>
      </c>
      <c r="F69" s="8">
        <v>744</v>
      </c>
      <c r="G69" s="8">
        <v>699</v>
      </c>
      <c r="H69" s="8">
        <v>695</v>
      </c>
      <c r="I69" s="8">
        <v>695</v>
      </c>
      <c r="J69" s="8">
        <v>757</v>
      </c>
      <c r="K69" s="8">
        <v>803</v>
      </c>
      <c r="L69" s="8">
        <v>697</v>
      </c>
      <c r="M69" s="8">
        <v>832</v>
      </c>
      <c r="N69" s="13">
        <f t="shared" si="4"/>
        <v>722.6666666666666</v>
      </c>
    </row>
    <row r="70" spans="1:14" ht="12.75" hidden="1">
      <c r="A70" t="s">
        <v>125</v>
      </c>
      <c r="B70" s="8">
        <v>802</v>
      </c>
      <c r="C70" s="8">
        <v>703</v>
      </c>
      <c r="D70" s="8">
        <v>673</v>
      </c>
      <c r="E70" s="8">
        <v>711</v>
      </c>
      <c r="F70" s="8">
        <v>668</v>
      </c>
      <c r="G70" s="8">
        <v>661</v>
      </c>
      <c r="H70" s="8">
        <v>622</v>
      </c>
      <c r="I70" s="8">
        <v>712</v>
      </c>
      <c r="J70" s="8">
        <v>642</v>
      </c>
      <c r="K70" s="8">
        <v>663</v>
      </c>
      <c r="L70" s="8">
        <v>626</v>
      </c>
      <c r="M70" s="8">
        <v>670</v>
      </c>
      <c r="N70" s="13">
        <v>679.4166666666666</v>
      </c>
    </row>
    <row r="71" spans="1:14" ht="12.75" hidden="1">
      <c r="A71" t="s">
        <v>101</v>
      </c>
      <c r="B71" s="8">
        <v>719</v>
      </c>
      <c r="C71" s="8">
        <v>651</v>
      </c>
      <c r="D71" s="8">
        <v>737</v>
      </c>
      <c r="E71" s="8">
        <v>726</v>
      </c>
      <c r="F71" s="8">
        <v>652</v>
      </c>
      <c r="G71" s="8">
        <v>802</v>
      </c>
      <c r="H71" s="8">
        <v>666</v>
      </c>
      <c r="I71" s="8">
        <v>626</v>
      </c>
      <c r="J71" s="8">
        <v>697</v>
      </c>
      <c r="K71" s="8">
        <v>642</v>
      </c>
      <c r="L71" s="8">
        <v>771</v>
      </c>
      <c r="M71" s="8">
        <v>764</v>
      </c>
      <c r="N71" s="13">
        <v>704.4166666666666</v>
      </c>
    </row>
    <row r="72" spans="1:14" ht="12.75" hidden="1">
      <c r="A72" t="s">
        <v>74</v>
      </c>
      <c r="B72" s="9">
        <v>733</v>
      </c>
      <c r="C72" s="9">
        <v>736</v>
      </c>
      <c r="D72" s="9">
        <v>825</v>
      </c>
      <c r="E72" s="9">
        <v>641</v>
      </c>
      <c r="F72" s="9">
        <v>722</v>
      </c>
      <c r="G72" s="9">
        <v>654</v>
      </c>
      <c r="H72" s="9">
        <v>664</v>
      </c>
      <c r="I72" s="9">
        <v>696</v>
      </c>
      <c r="J72" s="9">
        <v>769</v>
      </c>
      <c r="K72" s="9">
        <v>919</v>
      </c>
      <c r="L72" s="9">
        <v>684</v>
      </c>
      <c r="M72" s="9">
        <v>657</v>
      </c>
      <c r="N72" s="13">
        <v>725</v>
      </c>
    </row>
    <row r="73" spans="1:14" ht="12.75" hidden="1">
      <c r="A73" t="s">
        <v>28</v>
      </c>
      <c r="B73" s="8">
        <v>769</v>
      </c>
      <c r="C73" s="8">
        <v>830</v>
      </c>
      <c r="D73" s="8">
        <v>695</v>
      </c>
      <c r="E73" s="8">
        <v>658</v>
      </c>
      <c r="F73" s="8">
        <v>690</v>
      </c>
      <c r="G73" s="8">
        <v>648</v>
      </c>
      <c r="H73" s="8">
        <v>617</v>
      </c>
      <c r="I73" s="8">
        <v>629</v>
      </c>
      <c r="J73" s="8">
        <v>723</v>
      </c>
      <c r="K73" s="8">
        <v>643</v>
      </c>
      <c r="L73" s="8">
        <v>646</v>
      </c>
      <c r="M73" s="8">
        <v>599</v>
      </c>
      <c r="N73" s="13">
        <v>678.9166666666666</v>
      </c>
    </row>
    <row r="74" spans="1:14" ht="12.75" hidden="1">
      <c r="A74" t="s">
        <v>29</v>
      </c>
      <c r="B74" s="8">
        <v>724</v>
      </c>
      <c r="C74" s="8">
        <v>846</v>
      </c>
      <c r="D74" s="8">
        <v>802</v>
      </c>
      <c r="E74" s="8">
        <v>656</v>
      </c>
      <c r="F74" s="8">
        <v>704</v>
      </c>
      <c r="G74" s="8">
        <v>713</v>
      </c>
      <c r="H74" s="8">
        <v>662</v>
      </c>
      <c r="I74" s="8">
        <v>640</v>
      </c>
      <c r="J74" s="8">
        <v>700</v>
      </c>
      <c r="K74" s="8">
        <v>705</v>
      </c>
      <c r="L74" s="8">
        <v>692</v>
      </c>
      <c r="M74" s="8">
        <v>773</v>
      </c>
      <c r="N74" s="13">
        <v>718.0833333333334</v>
      </c>
    </row>
    <row r="75" spans="1:13" ht="12.75" hidden="1">
      <c r="A75" t="s">
        <v>30</v>
      </c>
      <c r="B75" s="8">
        <v>746</v>
      </c>
      <c r="C75" s="8">
        <v>590</v>
      </c>
      <c r="D75" s="8">
        <v>616</v>
      </c>
      <c r="E75" s="8">
        <v>610</v>
      </c>
      <c r="F75" s="8">
        <v>700</v>
      </c>
      <c r="G75" s="8">
        <v>591</v>
      </c>
      <c r="H75" s="8">
        <v>626</v>
      </c>
      <c r="I75" s="8">
        <v>618</v>
      </c>
      <c r="J75" s="8">
        <v>689</v>
      </c>
      <c r="K75" s="8">
        <v>640</v>
      </c>
      <c r="L75" s="8">
        <v>714</v>
      </c>
      <c r="M75" s="8">
        <v>695</v>
      </c>
    </row>
    <row r="76" spans="2:14" ht="12.75">
      <c r="B76" s="7" t="s">
        <v>77</v>
      </c>
      <c r="C76" s="7" t="s">
        <v>78</v>
      </c>
      <c r="D76" s="7" t="s">
        <v>79</v>
      </c>
      <c r="E76" s="7" t="s">
        <v>80</v>
      </c>
      <c r="F76" s="7" t="s">
        <v>81</v>
      </c>
      <c r="G76" s="7" t="s">
        <v>82</v>
      </c>
      <c r="H76" s="7" t="s">
        <v>83</v>
      </c>
      <c r="I76" s="7" t="s">
        <v>84</v>
      </c>
      <c r="J76" s="7" t="s">
        <v>85</v>
      </c>
      <c r="K76" s="7" t="s">
        <v>86</v>
      </c>
      <c r="L76" s="7" t="s">
        <v>87</v>
      </c>
      <c r="M76" s="7" t="s">
        <v>88</v>
      </c>
      <c r="N76" s="6" t="s">
        <v>119</v>
      </c>
    </row>
    <row r="77" spans="1:14" ht="12.75">
      <c r="A77" s="15" t="s">
        <v>283</v>
      </c>
      <c r="B77" s="16">
        <v>3377</v>
      </c>
      <c r="C77" s="16">
        <v>2520</v>
      </c>
      <c r="D77" s="16">
        <v>3105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3">
        <f>SUM(B77:M77)/Q$1</f>
        <v>3000.6666666666665</v>
      </c>
    </row>
    <row r="78" spans="1:14" ht="12.75">
      <c r="A78" s="15" t="s">
        <v>293</v>
      </c>
      <c r="B78" s="16">
        <v>3634</v>
      </c>
      <c r="C78" s="16">
        <v>3102</v>
      </c>
      <c r="D78" s="16">
        <v>2328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3">
        <f>SUM(B78:M78)/Q$1</f>
        <v>3021.3333333333335</v>
      </c>
    </row>
    <row r="79" spans="1:14" ht="12.75">
      <c r="A79" s="15" t="s">
        <v>252</v>
      </c>
      <c r="B79" s="16">
        <v>3634</v>
      </c>
      <c r="C79" s="16">
        <v>3102</v>
      </c>
      <c r="D79" s="16">
        <v>2328</v>
      </c>
      <c r="E79" s="16">
        <v>1450</v>
      </c>
      <c r="F79" s="16">
        <v>2095</v>
      </c>
      <c r="G79" s="16">
        <v>2600</v>
      </c>
      <c r="H79" s="16">
        <v>3042</v>
      </c>
      <c r="I79" s="16">
        <v>2722</v>
      </c>
      <c r="J79" s="16">
        <v>3433</v>
      </c>
      <c r="K79" s="16">
        <v>3483</v>
      </c>
      <c r="L79" s="16">
        <v>3439</v>
      </c>
      <c r="M79" s="16">
        <v>3239</v>
      </c>
      <c r="N79" s="13">
        <f aca="true" t="shared" si="5" ref="N79:N84">SUM(B79:M79)/12</f>
        <v>2880.5833333333335</v>
      </c>
    </row>
    <row r="80" spans="1:14" ht="12.75">
      <c r="A80" s="15" t="s">
        <v>236</v>
      </c>
      <c r="B80" s="16">
        <v>2820</v>
      </c>
      <c r="C80" s="16">
        <v>3015</v>
      </c>
      <c r="D80" s="16">
        <v>2820</v>
      </c>
      <c r="E80" s="16">
        <v>2762</v>
      </c>
      <c r="F80" s="16">
        <v>2828</v>
      </c>
      <c r="G80" s="16">
        <v>2325</v>
      </c>
      <c r="H80" s="16">
        <v>2500</v>
      </c>
      <c r="I80" s="16">
        <v>2641</v>
      </c>
      <c r="J80" s="16">
        <v>2672</v>
      </c>
      <c r="K80" s="16">
        <v>3037</v>
      </c>
      <c r="L80" s="16">
        <v>2685</v>
      </c>
      <c r="M80" s="16">
        <v>3192</v>
      </c>
      <c r="N80" s="13">
        <f t="shared" si="5"/>
        <v>2774.75</v>
      </c>
    </row>
    <row r="81" spans="1:14" ht="12.75">
      <c r="A81" s="15" t="s">
        <v>215</v>
      </c>
      <c r="B81" s="16">
        <v>4900</v>
      </c>
      <c r="C81" s="16">
        <v>5106</v>
      </c>
      <c r="D81" s="16">
        <v>4167</v>
      </c>
      <c r="E81" s="16">
        <v>3416</v>
      </c>
      <c r="F81" s="16">
        <v>3552</v>
      </c>
      <c r="G81" s="16">
        <v>3317</v>
      </c>
      <c r="H81" s="16">
        <v>2660</v>
      </c>
      <c r="I81" s="16">
        <v>2975</v>
      </c>
      <c r="J81" s="16">
        <v>2520</v>
      </c>
      <c r="K81" s="16">
        <v>2723</v>
      </c>
      <c r="L81" s="16">
        <v>2487</v>
      </c>
      <c r="M81" s="16">
        <v>2286</v>
      </c>
      <c r="N81" s="13">
        <f t="shared" si="5"/>
        <v>3342.4166666666665</v>
      </c>
    </row>
    <row r="82" spans="1:14" ht="12.75">
      <c r="A82" s="15" t="s">
        <v>193</v>
      </c>
      <c r="B82" s="16">
        <v>4225</v>
      </c>
      <c r="C82" s="16">
        <v>2777</v>
      </c>
      <c r="D82" s="16">
        <v>2667</v>
      </c>
      <c r="E82" s="16">
        <v>1954</v>
      </c>
      <c r="F82" s="16">
        <v>2000</v>
      </c>
      <c r="G82" s="16">
        <v>2000</v>
      </c>
      <c r="H82" s="16">
        <v>2556</v>
      </c>
      <c r="I82" s="16">
        <v>2864</v>
      </c>
      <c r="J82" s="16">
        <v>2656</v>
      </c>
      <c r="K82" s="16">
        <v>3875</v>
      </c>
      <c r="L82" s="16">
        <v>3752</v>
      </c>
      <c r="M82" s="16">
        <v>3561</v>
      </c>
      <c r="N82" s="13">
        <f t="shared" si="5"/>
        <v>2907.25</v>
      </c>
    </row>
    <row r="83" spans="1:14" ht="12.75" hidden="1">
      <c r="A83" s="15" t="s">
        <v>177</v>
      </c>
      <c r="B83" s="16">
        <v>2129</v>
      </c>
      <c r="C83" s="16">
        <v>2417</v>
      </c>
      <c r="D83" s="16">
        <v>2234</v>
      </c>
      <c r="E83" s="16">
        <v>2166</v>
      </c>
      <c r="F83" s="16">
        <v>2082</v>
      </c>
      <c r="G83" s="16">
        <v>1898</v>
      </c>
      <c r="H83" s="16">
        <v>1868</v>
      </c>
      <c r="I83" s="16">
        <v>2164</v>
      </c>
      <c r="J83" s="16">
        <v>2029</v>
      </c>
      <c r="K83" s="16">
        <v>3582</v>
      </c>
      <c r="L83" s="16">
        <v>2969</v>
      </c>
      <c r="M83" s="16">
        <v>3399</v>
      </c>
      <c r="N83" s="13">
        <f t="shared" si="5"/>
        <v>2411.4166666666665</v>
      </c>
    </row>
    <row r="84" spans="1:14" ht="12.75" hidden="1">
      <c r="A84" t="s">
        <v>148</v>
      </c>
      <c r="B84" s="8">
        <v>1493</v>
      </c>
      <c r="C84" s="8">
        <v>1400</v>
      </c>
      <c r="D84" s="8">
        <v>1350</v>
      </c>
      <c r="E84" s="8">
        <v>1328</v>
      </c>
      <c r="F84" s="8">
        <v>1431</v>
      </c>
      <c r="G84" s="8">
        <v>1302</v>
      </c>
      <c r="H84" s="8">
        <v>1271</v>
      </c>
      <c r="I84" s="8">
        <v>1477</v>
      </c>
      <c r="J84" s="8">
        <v>1282</v>
      </c>
      <c r="K84" s="8">
        <v>1648</v>
      </c>
      <c r="L84" s="8">
        <v>1377</v>
      </c>
      <c r="M84" s="8">
        <v>1205</v>
      </c>
      <c r="N84" s="13">
        <f t="shared" si="5"/>
        <v>1380.3333333333333</v>
      </c>
    </row>
    <row r="85" spans="1:14" ht="12.75" hidden="1">
      <c r="A85" t="s">
        <v>126</v>
      </c>
      <c r="B85" s="8">
        <v>1242</v>
      </c>
      <c r="C85" s="8">
        <v>1127</v>
      </c>
      <c r="D85" s="8">
        <v>1347</v>
      </c>
      <c r="E85" s="8">
        <v>1273</v>
      </c>
      <c r="F85" s="8">
        <v>1253</v>
      </c>
      <c r="G85" s="8">
        <v>1314</v>
      </c>
      <c r="H85" s="8">
        <v>1162</v>
      </c>
      <c r="I85" s="8">
        <v>1473</v>
      </c>
      <c r="J85" s="8">
        <v>1312</v>
      </c>
      <c r="K85" s="8">
        <v>1262</v>
      </c>
      <c r="L85" s="8">
        <v>1261</v>
      </c>
      <c r="M85" s="8">
        <v>1115</v>
      </c>
      <c r="N85" s="13">
        <v>1261.75</v>
      </c>
    </row>
    <row r="86" spans="1:14" ht="12.75" hidden="1">
      <c r="A86" t="s">
        <v>102</v>
      </c>
      <c r="B86" s="8">
        <v>1361</v>
      </c>
      <c r="C86" s="8">
        <v>1439</v>
      </c>
      <c r="D86" s="8">
        <v>1551</v>
      </c>
      <c r="E86" s="8">
        <v>1459</v>
      </c>
      <c r="F86" s="8">
        <v>1360</v>
      </c>
      <c r="G86" s="8">
        <v>1416</v>
      </c>
      <c r="H86" s="8">
        <v>1387</v>
      </c>
      <c r="I86" s="8">
        <v>1490</v>
      </c>
      <c r="J86" s="8">
        <v>1448</v>
      </c>
      <c r="K86" s="8">
        <v>1375</v>
      </c>
      <c r="L86" s="8">
        <v>1221</v>
      </c>
      <c r="M86" s="8">
        <v>1167</v>
      </c>
      <c r="N86" s="13">
        <v>1389.5</v>
      </c>
    </row>
    <row r="87" spans="1:14" ht="12.75" hidden="1">
      <c r="A87" t="s">
        <v>73</v>
      </c>
      <c r="B87" s="9">
        <v>1067</v>
      </c>
      <c r="C87" s="9">
        <v>795</v>
      </c>
      <c r="D87" s="9">
        <v>1573</v>
      </c>
      <c r="E87" s="9">
        <v>1416</v>
      </c>
      <c r="F87" s="9">
        <v>1248</v>
      </c>
      <c r="G87" s="9">
        <v>1411</v>
      </c>
      <c r="H87" s="9">
        <v>1380</v>
      </c>
      <c r="I87" s="9">
        <v>1501</v>
      </c>
      <c r="J87" s="9">
        <v>1469</v>
      </c>
      <c r="K87" s="9">
        <v>1432</v>
      </c>
      <c r="L87" s="9">
        <v>1214</v>
      </c>
      <c r="M87" s="9">
        <v>1289</v>
      </c>
      <c r="N87" s="13">
        <v>1316.25</v>
      </c>
    </row>
    <row r="88" spans="1:14" ht="12.75" hidden="1">
      <c r="A88" t="s">
        <v>31</v>
      </c>
      <c r="B88" s="8">
        <v>802</v>
      </c>
      <c r="C88" s="8">
        <v>707</v>
      </c>
      <c r="D88" s="8">
        <v>707</v>
      </c>
      <c r="E88" s="8">
        <v>696</v>
      </c>
      <c r="F88" s="8">
        <v>654</v>
      </c>
      <c r="G88" s="8">
        <v>650</v>
      </c>
      <c r="H88" s="8">
        <v>818</v>
      </c>
      <c r="I88" s="8">
        <v>759</v>
      </c>
      <c r="J88" s="8">
        <v>917</v>
      </c>
      <c r="K88" s="8">
        <v>963</v>
      </c>
      <c r="L88" s="8">
        <v>883</v>
      </c>
      <c r="M88" s="8">
        <v>1006</v>
      </c>
      <c r="N88" s="13">
        <v>796.8333333333334</v>
      </c>
    </row>
    <row r="89" spans="1:14" ht="12.75" hidden="1">
      <c r="A89" t="s">
        <v>32</v>
      </c>
      <c r="B89" s="8">
        <v>1199</v>
      </c>
      <c r="C89" s="8">
        <v>1079</v>
      </c>
      <c r="D89" s="8">
        <v>1290</v>
      </c>
      <c r="E89" s="8">
        <v>1288</v>
      </c>
      <c r="F89" s="8">
        <v>1315</v>
      </c>
      <c r="G89" s="8">
        <v>1179</v>
      </c>
      <c r="H89" s="8">
        <v>1258</v>
      </c>
      <c r="I89" s="8">
        <v>1478</v>
      </c>
      <c r="J89" s="8">
        <v>1231</v>
      </c>
      <c r="K89" s="8">
        <v>1697</v>
      </c>
      <c r="L89" s="8">
        <v>1552</v>
      </c>
      <c r="M89" s="8">
        <v>1347</v>
      </c>
      <c r="N89" s="13">
        <v>1326.0833333333333</v>
      </c>
    </row>
    <row r="90" spans="1:13" ht="12.75" hidden="1">
      <c r="A90" t="s">
        <v>33</v>
      </c>
      <c r="B90" s="8">
        <v>1240</v>
      </c>
      <c r="C90" s="8">
        <v>971</v>
      </c>
      <c r="D90" s="8">
        <v>1126</v>
      </c>
      <c r="E90" s="8">
        <v>1220</v>
      </c>
      <c r="F90" s="8">
        <v>989</v>
      </c>
      <c r="G90" s="8">
        <v>1060</v>
      </c>
      <c r="H90" s="8">
        <v>981</v>
      </c>
      <c r="I90" s="8">
        <v>1262</v>
      </c>
      <c r="J90" s="8">
        <v>1011</v>
      </c>
      <c r="K90" s="8">
        <v>1157</v>
      </c>
      <c r="L90" s="8">
        <v>1067</v>
      </c>
      <c r="M90" s="8">
        <v>972</v>
      </c>
    </row>
    <row r="91" spans="2:14" ht="12.75">
      <c r="B91" s="7" t="s">
        <v>77</v>
      </c>
      <c r="C91" s="7" t="s">
        <v>78</v>
      </c>
      <c r="D91" s="7" t="s">
        <v>79</v>
      </c>
      <c r="E91" s="7" t="s">
        <v>80</v>
      </c>
      <c r="F91" s="7" t="s">
        <v>81</v>
      </c>
      <c r="G91" s="7" t="s">
        <v>82</v>
      </c>
      <c r="H91" s="7" t="s">
        <v>83</v>
      </c>
      <c r="I91" s="7" t="s">
        <v>84</v>
      </c>
      <c r="J91" s="7" t="s">
        <v>85</v>
      </c>
      <c r="K91" s="7" t="s">
        <v>86</v>
      </c>
      <c r="L91" s="7" t="s">
        <v>87</v>
      </c>
      <c r="M91" s="7" t="s">
        <v>88</v>
      </c>
      <c r="N91" s="6" t="s">
        <v>119</v>
      </c>
    </row>
    <row r="92" spans="1:14" ht="12.75">
      <c r="A92" s="15" t="s">
        <v>284</v>
      </c>
      <c r="B92" s="16">
        <v>3316</v>
      </c>
      <c r="C92" s="16">
        <v>2348</v>
      </c>
      <c r="D92" s="16">
        <v>3219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3">
        <f>SUM(B92:M92)/Q$1</f>
        <v>2961</v>
      </c>
    </row>
    <row r="93" spans="1:14" ht="12.75">
      <c r="A93" s="15" t="s">
        <v>294</v>
      </c>
      <c r="B93" s="16">
        <v>3326</v>
      </c>
      <c r="C93" s="16">
        <v>3595</v>
      </c>
      <c r="D93" s="16">
        <v>2498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3">
        <f>SUM(B93:M93)/Q$1</f>
        <v>3139.6666666666665</v>
      </c>
    </row>
    <row r="94" spans="1:14" ht="12.75">
      <c r="A94" s="15" t="s">
        <v>253</v>
      </c>
      <c r="B94" s="16">
        <v>2970</v>
      </c>
      <c r="C94" s="16">
        <v>3230</v>
      </c>
      <c r="D94" s="16">
        <v>2345</v>
      </c>
      <c r="E94" s="16">
        <v>1004</v>
      </c>
      <c r="F94" s="16">
        <v>2516</v>
      </c>
      <c r="G94" s="16">
        <v>3067</v>
      </c>
      <c r="H94" s="16">
        <v>2853</v>
      </c>
      <c r="I94" s="16">
        <v>2385</v>
      </c>
      <c r="J94" s="16">
        <v>4739</v>
      </c>
      <c r="K94" s="16">
        <v>3540</v>
      </c>
      <c r="L94" s="16">
        <v>3204</v>
      </c>
      <c r="M94" s="16">
        <v>1837</v>
      </c>
      <c r="N94" s="13">
        <f aca="true" t="shared" si="6" ref="N94:N99">SUM(B94:M94)/12</f>
        <v>2807.5</v>
      </c>
    </row>
    <row r="95" spans="1:14" ht="12.75">
      <c r="A95" s="15" t="s">
        <v>234</v>
      </c>
      <c r="B95" s="16">
        <v>2767</v>
      </c>
      <c r="C95" s="16">
        <v>2694</v>
      </c>
      <c r="D95" s="16">
        <v>2756</v>
      </c>
      <c r="E95" s="16">
        <v>2835</v>
      </c>
      <c r="F95" s="16">
        <v>3017</v>
      </c>
      <c r="G95" s="16">
        <v>1746</v>
      </c>
      <c r="H95" s="16">
        <v>3234</v>
      </c>
      <c r="I95" s="16">
        <v>3366</v>
      </c>
      <c r="J95" s="16">
        <v>3419</v>
      </c>
      <c r="K95" s="16">
        <v>2918</v>
      </c>
      <c r="L95" s="16">
        <v>3553</v>
      </c>
      <c r="M95" s="16">
        <v>382</v>
      </c>
      <c r="N95" s="13">
        <f t="shared" si="6"/>
        <v>2723.9166666666665</v>
      </c>
    </row>
    <row r="96" spans="1:14" ht="12.75">
      <c r="A96" s="15" t="s">
        <v>216</v>
      </c>
      <c r="B96" s="16">
        <v>5314</v>
      </c>
      <c r="C96" s="16">
        <v>3771</v>
      </c>
      <c r="D96" s="16">
        <v>4402</v>
      </c>
      <c r="E96" s="16">
        <v>3383</v>
      </c>
      <c r="F96" s="16">
        <v>4435</v>
      </c>
      <c r="G96" s="16">
        <v>5230</v>
      </c>
      <c r="H96" s="16">
        <v>2366</v>
      </c>
      <c r="I96" s="16">
        <v>2390</v>
      </c>
      <c r="J96" s="16">
        <v>3064</v>
      </c>
      <c r="K96" s="16">
        <v>2309</v>
      </c>
      <c r="L96" s="16">
        <v>3446</v>
      </c>
      <c r="M96" s="16">
        <v>2081</v>
      </c>
      <c r="N96" s="13">
        <f t="shared" si="6"/>
        <v>3515.9166666666665</v>
      </c>
    </row>
    <row r="97" spans="1:14" ht="12.75">
      <c r="A97" s="15" t="s">
        <v>194</v>
      </c>
      <c r="B97" s="16">
        <v>3080</v>
      </c>
      <c r="C97" s="16">
        <v>3315</v>
      </c>
      <c r="D97" s="16">
        <v>2606</v>
      </c>
      <c r="E97" s="16">
        <v>1924</v>
      </c>
      <c r="F97" s="16">
        <v>3028</v>
      </c>
      <c r="G97" s="16">
        <v>3578</v>
      </c>
      <c r="H97" s="16">
        <v>2312</v>
      </c>
      <c r="I97" s="16">
        <v>2801</v>
      </c>
      <c r="J97" s="16">
        <v>2618</v>
      </c>
      <c r="K97" s="16">
        <v>4220</v>
      </c>
      <c r="L97" s="16">
        <v>2967</v>
      </c>
      <c r="M97" s="16">
        <v>4122</v>
      </c>
      <c r="N97" s="13">
        <f t="shared" si="6"/>
        <v>3047.5833333333335</v>
      </c>
    </row>
    <row r="98" spans="1:14" ht="12.75" hidden="1">
      <c r="A98" s="15" t="s">
        <v>178</v>
      </c>
      <c r="B98" s="16">
        <v>2309</v>
      </c>
      <c r="C98" s="16">
        <v>2462</v>
      </c>
      <c r="D98" s="16">
        <v>2461</v>
      </c>
      <c r="E98" s="16">
        <v>3140</v>
      </c>
      <c r="F98" s="16">
        <v>2654</v>
      </c>
      <c r="G98" s="16">
        <v>2408</v>
      </c>
      <c r="H98" s="16">
        <v>2747</v>
      </c>
      <c r="I98" s="16">
        <v>2413</v>
      </c>
      <c r="J98" s="16">
        <v>3416</v>
      </c>
      <c r="K98" s="16">
        <v>3289</v>
      </c>
      <c r="L98" s="16">
        <v>3604</v>
      </c>
      <c r="M98" s="16">
        <v>4322</v>
      </c>
      <c r="N98" s="13">
        <f t="shared" si="6"/>
        <v>2935.4166666666665</v>
      </c>
    </row>
    <row r="99" spans="1:14" ht="12.75" hidden="1">
      <c r="A99" t="s">
        <v>149</v>
      </c>
      <c r="B99" s="8">
        <v>1998</v>
      </c>
      <c r="C99" s="8">
        <v>2111</v>
      </c>
      <c r="D99" s="8">
        <v>2106</v>
      </c>
      <c r="E99" s="8">
        <v>1853</v>
      </c>
      <c r="F99" s="8">
        <v>2004</v>
      </c>
      <c r="G99" s="8">
        <v>1707</v>
      </c>
      <c r="H99" s="8">
        <v>1753</v>
      </c>
      <c r="I99" s="8">
        <v>1953</v>
      </c>
      <c r="J99" s="8">
        <v>1876</v>
      </c>
      <c r="K99" s="8">
        <v>2027</v>
      </c>
      <c r="L99" s="8">
        <v>1855</v>
      </c>
      <c r="M99" s="8">
        <v>2089</v>
      </c>
      <c r="N99" s="13">
        <f t="shared" si="6"/>
        <v>1944.3333333333333</v>
      </c>
    </row>
    <row r="100" spans="1:14" ht="12.75" hidden="1">
      <c r="A100" t="s">
        <v>127</v>
      </c>
      <c r="B100" s="8">
        <v>1709</v>
      </c>
      <c r="C100" s="8">
        <v>1738</v>
      </c>
      <c r="D100" s="8">
        <v>2030</v>
      </c>
      <c r="E100" s="8">
        <v>1885</v>
      </c>
      <c r="F100" s="8">
        <v>2089</v>
      </c>
      <c r="G100" s="8">
        <v>3045</v>
      </c>
      <c r="H100" s="8">
        <v>1322</v>
      </c>
      <c r="I100" s="8">
        <v>1985</v>
      </c>
      <c r="J100" s="8">
        <v>2017</v>
      </c>
      <c r="K100" s="8">
        <v>1891</v>
      </c>
      <c r="L100" s="8">
        <v>1864</v>
      </c>
      <c r="M100" s="8">
        <v>2088</v>
      </c>
      <c r="N100" s="13">
        <v>1971.9166666666667</v>
      </c>
    </row>
    <row r="101" spans="1:14" ht="12.75" hidden="1">
      <c r="A101" t="s">
        <v>103</v>
      </c>
      <c r="B101" s="8">
        <v>2239</v>
      </c>
      <c r="C101" s="8">
        <v>2339</v>
      </c>
      <c r="D101" s="8">
        <v>2177</v>
      </c>
      <c r="E101" s="8">
        <v>2163</v>
      </c>
      <c r="F101" s="8">
        <v>1902</v>
      </c>
      <c r="G101" s="8">
        <v>2370</v>
      </c>
      <c r="H101" s="8">
        <v>1851</v>
      </c>
      <c r="I101" s="8">
        <v>2153</v>
      </c>
      <c r="J101" s="8">
        <v>1784</v>
      </c>
      <c r="K101" s="8">
        <v>1425</v>
      </c>
      <c r="L101" s="8">
        <v>1594</v>
      </c>
      <c r="M101" s="8">
        <v>1699</v>
      </c>
      <c r="N101" s="13">
        <v>1974.6666666666667</v>
      </c>
    </row>
    <row r="102" spans="1:14" ht="12.75" hidden="1">
      <c r="A102" t="s">
        <v>72</v>
      </c>
      <c r="B102" s="9">
        <v>2345</v>
      </c>
      <c r="C102" s="9">
        <v>1905</v>
      </c>
      <c r="D102" s="9">
        <v>2487</v>
      </c>
      <c r="E102" s="9">
        <v>2051</v>
      </c>
      <c r="F102" s="9">
        <v>1863</v>
      </c>
      <c r="G102" s="9">
        <v>2356</v>
      </c>
      <c r="H102" s="9">
        <v>2536</v>
      </c>
      <c r="I102" s="9">
        <v>2090</v>
      </c>
      <c r="J102" s="9">
        <v>2211</v>
      </c>
      <c r="K102" s="9">
        <v>2610</v>
      </c>
      <c r="L102" s="9">
        <v>2128</v>
      </c>
      <c r="M102" s="9">
        <v>1382</v>
      </c>
      <c r="N102" s="13">
        <v>2163.6666666666665</v>
      </c>
    </row>
    <row r="103" spans="1:14" ht="12.75" hidden="1">
      <c r="A103" t="s">
        <v>34</v>
      </c>
      <c r="B103" s="8">
        <v>1668</v>
      </c>
      <c r="C103" s="8">
        <v>1585</v>
      </c>
      <c r="D103" s="8">
        <v>1798</v>
      </c>
      <c r="E103" s="8">
        <v>1895</v>
      </c>
      <c r="F103" s="8">
        <v>2071</v>
      </c>
      <c r="G103" s="8">
        <v>1689</v>
      </c>
      <c r="H103" s="8">
        <v>1911</v>
      </c>
      <c r="I103" s="8">
        <v>2081</v>
      </c>
      <c r="J103" s="8">
        <v>2350</v>
      </c>
      <c r="K103" s="8">
        <v>2413</v>
      </c>
      <c r="L103" s="8">
        <v>2135</v>
      </c>
      <c r="M103" s="8">
        <v>1992</v>
      </c>
      <c r="N103" s="13">
        <v>1965.6666666666667</v>
      </c>
    </row>
    <row r="104" spans="1:14" ht="12.75" hidden="1">
      <c r="A104" t="s">
        <v>35</v>
      </c>
      <c r="B104" s="8">
        <v>1269</v>
      </c>
      <c r="C104" s="8">
        <v>1215</v>
      </c>
      <c r="D104" s="8">
        <v>1475</v>
      </c>
      <c r="E104" s="8">
        <v>1359</v>
      </c>
      <c r="F104" s="8">
        <v>1326</v>
      </c>
      <c r="G104" s="8">
        <v>1605</v>
      </c>
      <c r="H104" s="8">
        <v>1317</v>
      </c>
      <c r="I104" s="8">
        <v>1831</v>
      </c>
      <c r="J104" s="8">
        <v>1616</v>
      </c>
      <c r="K104" s="8">
        <v>1669</v>
      </c>
      <c r="L104" s="8">
        <v>2043</v>
      </c>
      <c r="M104" s="8">
        <v>1647</v>
      </c>
      <c r="N104" s="13">
        <v>1531</v>
      </c>
    </row>
    <row r="105" spans="1:13" ht="12.75" hidden="1">
      <c r="A105" t="s">
        <v>36</v>
      </c>
      <c r="B105" s="8">
        <f>1549489.43/1000</f>
        <v>1549.4894299999999</v>
      </c>
      <c r="C105" s="8">
        <f>1276449.74/1000</f>
        <v>1276.44974</v>
      </c>
      <c r="D105" s="8">
        <f>1236240.57/1000</f>
        <v>1236.2405700000002</v>
      </c>
      <c r="E105" s="8">
        <f>1237396.81/1000</f>
        <v>1237.39681</v>
      </c>
      <c r="F105" s="8">
        <f>1463546.77/1000</f>
        <v>1463.54677</v>
      </c>
      <c r="G105" s="8">
        <f>1439425.15/1000</f>
        <v>1439.4251499999998</v>
      </c>
      <c r="H105" s="8">
        <f>1374685.24/1000</f>
        <v>1374.68524</v>
      </c>
      <c r="I105" s="8">
        <f>1419580.74/1000</f>
        <v>1419.5807399999999</v>
      </c>
      <c r="J105" s="8">
        <f>1609601.12/1000</f>
        <v>1609.60112</v>
      </c>
      <c r="K105" s="8">
        <f>1256829.95/1000</f>
        <v>1256.82995</v>
      </c>
      <c r="L105" s="8">
        <f>1358709.96/1000</f>
        <v>1358.70996</v>
      </c>
      <c r="M105" s="8">
        <f>1428390.78/1000</f>
        <v>1428.39078</v>
      </c>
    </row>
    <row r="106" spans="2:14" ht="12.75">
      <c r="B106" s="7" t="s">
        <v>77</v>
      </c>
      <c r="C106" s="7" t="s">
        <v>78</v>
      </c>
      <c r="D106" s="7" t="s">
        <v>79</v>
      </c>
      <c r="E106" s="7" t="s">
        <v>80</v>
      </c>
      <c r="F106" s="7" t="s">
        <v>81</v>
      </c>
      <c r="G106" s="7" t="s">
        <v>82</v>
      </c>
      <c r="H106" s="7" t="s">
        <v>83</v>
      </c>
      <c r="I106" s="7" t="s">
        <v>84</v>
      </c>
      <c r="J106" s="7" t="s">
        <v>85</v>
      </c>
      <c r="K106" s="7" t="s">
        <v>86</v>
      </c>
      <c r="L106" s="7" t="s">
        <v>87</v>
      </c>
      <c r="M106" s="7" t="s">
        <v>88</v>
      </c>
      <c r="N106" s="6" t="s">
        <v>119</v>
      </c>
    </row>
    <row r="107" spans="1:14" ht="12.75">
      <c r="A107" s="15" t="s">
        <v>285</v>
      </c>
      <c r="B107" s="16">
        <f>1788+325</f>
        <v>2113</v>
      </c>
      <c r="C107" s="16">
        <f>1589+408</f>
        <v>1997</v>
      </c>
      <c r="D107" s="16">
        <f>1747+480</f>
        <v>2227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3">
        <f>SUM(B107:M107)/Q$1</f>
        <v>2112.3333333333335</v>
      </c>
    </row>
    <row r="108" spans="1:14" ht="12.75">
      <c r="A108" s="15" t="s">
        <v>295</v>
      </c>
      <c r="B108" s="16">
        <f>1494+365</f>
        <v>1859</v>
      </c>
      <c r="C108" s="16">
        <f>1621+335</f>
        <v>1956</v>
      </c>
      <c r="D108" s="16">
        <f>1716+314</f>
        <v>2030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3">
        <f>SUM(B108:M108)/Q$1</f>
        <v>1948.3333333333333</v>
      </c>
    </row>
    <row r="109" spans="1:14" ht="12.75">
      <c r="A109" s="15" t="s">
        <v>254</v>
      </c>
      <c r="B109" s="16">
        <f>1474+318</f>
        <v>1792</v>
      </c>
      <c r="C109" s="16">
        <f>1563+324</f>
        <v>1887</v>
      </c>
      <c r="D109" s="16">
        <f>1666+306</f>
        <v>1972</v>
      </c>
      <c r="E109" s="16">
        <f>1593+794</f>
        <v>2387</v>
      </c>
      <c r="F109" s="16">
        <f>1645+34</f>
        <v>1679</v>
      </c>
      <c r="G109" s="16">
        <f>1532+485</f>
        <v>2017</v>
      </c>
      <c r="H109" s="16">
        <f>1628+434</f>
        <v>2062</v>
      </c>
      <c r="I109" s="16">
        <f>1793+544</f>
        <v>2337</v>
      </c>
      <c r="J109" s="16">
        <f>1591+431</f>
        <v>2022</v>
      </c>
      <c r="K109" s="16">
        <f>1773+488</f>
        <v>2261</v>
      </c>
      <c r="L109" s="16">
        <f>1737+411</f>
        <v>2148</v>
      </c>
      <c r="M109" s="16">
        <f>1998+585</f>
        <v>2583</v>
      </c>
      <c r="N109" s="13">
        <f aca="true" t="shared" si="7" ref="N109:N114">SUM(B109:M109)/12</f>
        <v>2095.5833333333335</v>
      </c>
    </row>
    <row r="110" spans="1:14" ht="12.75">
      <c r="A110" s="15" t="s">
        <v>235</v>
      </c>
      <c r="B110" s="16">
        <f>1325+431</f>
        <v>1756</v>
      </c>
      <c r="C110" s="16">
        <f>1427+327</f>
        <v>1754</v>
      </c>
      <c r="D110" s="16">
        <f>1582+250</f>
        <v>1832</v>
      </c>
      <c r="E110" s="16">
        <f>1474+264</f>
        <v>1738</v>
      </c>
      <c r="F110" s="16">
        <f>1342+542</f>
        <v>1884</v>
      </c>
      <c r="G110" s="16">
        <f>1360+366</f>
        <v>1726</v>
      </c>
      <c r="H110" s="16">
        <f>1368+493</f>
        <v>1861</v>
      </c>
      <c r="I110" s="16">
        <f>1508+565</f>
        <v>2073</v>
      </c>
      <c r="J110" s="16">
        <f>1467+534</f>
        <v>2001</v>
      </c>
      <c r="K110" s="16">
        <f>1702+452</f>
        <v>2154</v>
      </c>
      <c r="L110" s="16">
        <f>1570+191+677</f>
        <v>2438</v>
      </c>
      <c r="M110" s="16">
        <v>2131</v>
      </c>
      <c r="N110" s="13">
        <f t="shared" si="7"/>
        <v>1945.6666666666667</v>
      </c>
    </row>
    <row r="111" spans="1:14" ht="12.75">
      <c r="A111" s="15" t="s">
        <v>217</v>
      </c>
      <c r="B111" s="16">
        <f>1194+387</f>
        <v>1581</v>
      </c>
      <c r="C111" s="16">
        <f>1329+518</f>
        <v>1847</v>
      </c>
      <c r="D111" s="16">
        <f>1251+444</f>
        <v>1695</v>
      </c>
      <c r="E111" s="16">
        <f>1272+374</f>
        <v>1646</v>
      </c>
      <c r="F111" s="16">
        <f>1384+615</f>
        <v>1999</v>
      </c>
      <c r="G111" s="16">
        <f>1256+478</f>
        <v>1734</v>
      </c>
      <c r="H111" s="16">
        <f>1374+327</f>
        <v>1701</v>
      </c>
      <c r="I111" s="16">
        <f>1211+412</f>
        <v>1623</v>
      </c>
      <c r="J111" s="16">
        <f>1293+314</f>
        <v>1607</v>
      </c>
      <c r="K111" s="16">
        <f>1408+461</f>
        <v>1869</v>
      </c>
      <c r="L111" s="16">
        <f>1332+444</f>
        <v>1776</v>
      </c>
      <c r="M111" s="16">
        <f>1484+973</f>
        <v>2457</v>
      </c>
      <c r="N111" s="13">
        <f t="shared" si="7"/>
        <v>1794.5833333333333</v>
      </c>
    </row>
    <row r="112" spans="1:14" ht="12.75">
      <c r="A112" s="15" t="s">
        <v>195</v>
      </c>
      <c r="B112" s="16">
        <f>1138+338</f>
        <v>1476</v>
      </c>
      <c r="C112" s="16">
        <f>1349+95</f>
        <v>1444</v>
      </c>
      <c r="D112" s="16">
        <f>1247+158</f>
        <v>1405</v>
      </c>
      <c r="E112" s="16">
        <f>1326+435</f>
        <v>1761</v>
      </c>
      <c r="F112" s="16">
        <f>1323+485</f>
        <v>1808</v>
      </c>
      <c r="G112" s="16">
        <f>1150+134</f>
        <v>1284</v>
      </c>
      <c r="H112" s="16">
        <f>1342+386</f>
        <v>1728</v>
      </c>
      <c r="I112" s="16">
        <f>1492+552</f>
        <v>2044</v>
      </c>
      <c r="J112" s="16">
        <v>1812</v>
      </c>
      <c r="K112" s="16">
        <f>1140+37</f>
        <v>1177</v>
      </c>
      <c r="L112" s="16">
        <f>1231+131</f>
        <v>1362</v>
      </c>
      <c r="M112" s="16">
        <f>1284+343</f>
        <v>1627</v>
      </c>
      <c r="N112" s="13">
        <f t="shared" si="7"/>
        <v>1577.3333333333333</v>
      </c>
    </row>
    <row r="113" spans="1:14" ht="12.75" hidden="1">
      <c r="A113" s="15" t="s">
        <v>179</v>
      </c>
      <c r="B113" s="16">
        <f>1190+267</f>
        <v>1457</v>
      </c>
      <c r="C113" s="16">
        <f>1200+330</f>
        <v>1530</v>
      </c>
      <c r="D113" s="16">
        <f>1168+362</f>
        <v>1530</v>
      </c>
      <c r="E113" s="16">
        <f>1206+340</f>
        <v>1546</v>
      </c>
      <c r="F113" s="16">
        <f>1225+301</f>
        <v>1526</v>
      </c>
      <c r="G113" s="16">
        <v>1581</v>
      </c>
      <c r="H113" s="16">
        <v>1324</v>
      </c>
      <c r="I113" s="16">
        <v>1537</v>
      </c>
      <c r="J113" s="16">
        <v>1542</v>
      </c>
      <c r="K113" s="16">
        <f>1463+253</f>
        <v>1716</v>
      </c>
      <c r="L113" s="16">
        <v>1961</v>
      </c>
      <c r="M113" s="16">
        <v>1767</v>
      </c>
      <c r="N113" s="13">
        <f t="shared" si="7"/>
        <v>1584.75</v>
      </c>
    </row>
    <row r="114" spans="1:14" ht="12.75" hidden="1">
      <c r="A114" t="s">
        <v>150</v>
      </c>
      <c r="B114" s="8">
        <f>703+234</f>
        <v>937</v>
      </c>
      <c r="C114" s="8">
        <f>632+223</f>
        <v>855</v>
      </c>
      <c r="D114" s="8">
        <f>668+208</f>
        <v>876</v>
      </c>
      <c r="E114" s="8">
        <f>639+234</f>
        <v>873</v>
      </c>
      <c r="F114" s="8">
        <f>662+286</f>
        <v>948</v>
      </c>
      <c r="G114" s="8">
        <f>630+238</f>
        <v>868</v>
      </c>
      <c r="H114" s="8">
        <f>613+223</f>
        <v>836</v>
      </c>
      <c r="I114" s="8">
        <f>638+316</f>
        <v>954</v>
      </c>
      <c r="J114" s="8">
        <f>620+223</f>
        <v>843</v>
      </c>
      <c r="K114" s="8">
        <f>643+294</f>
        <v>937</v>
      </c>
      <c r="L114" s="8">
        <v>1032</v>
      </c>
      <c r="M114" s="8">
        <f>661+310</f>
        <v>971</v>
      </c>
      <c r="N114" s="13">
        <f t="shared" si="7"/>
        <v>910.8333333333334</v>
      </c>
    </row>
    <row r="115" spans="1:14" ht="12.75" hidden="1">
      <c r="A115" t="s">
        <v>128</v>
      </c>
      <c r="B115" s="8">
        <f>729+253</f>
        <v>982</v>
      </c>
      <c r="C115" s="8">
        <v>874</v>
      </c>
      <c r="D115" s="8">
        <f>737+224</f>
        <v>961</v>
      </c>
      <c r="E115" s="8">
        <f>675+238</f>
        <v>913</v>
      </c>
      <c r="F115" s="8">
        <f>711+233</f>
        <v>944</v>
      </c>
      <c r="G115" s="8">
        <f>667+203</f>
        <v>870</v>
      </c>
      <c r="H115" s="8">
        <f>646+259</f>
        <v>905</v>
      </c>
      <c r="I115" s="8">
        <f>674+243</f>
        <v>917</v>
      </c>
      <c r="J115" s="8">
        <f>271+648</f>
        <v>919</v>
      </c>
      <c r="K115" s="8">
        <f>686+233</f>
        <v>919</v>
      </c>
      <c r="L115" s="8">
        <f>655+347</f>
        <v>1002</v>
      </c>
      <c r="M115" s="8">
        <f>687+441</f>
        <v>1128</v>
      </c>
      <c r="N115" s="13">
        <v>944.5</v>
      </c>
    </row>
    <row r="116" spans="1:14" ht="12.75" hidden="1">
      <c r="A116" t="s">
        <v>104</v>
      </c>
      <c r="B116" s="8">
        <f>786+300</f>
        <v>1086</v>
      </c>
      <c r="C116" s="8">
        <f>779+211</f>
        <v>990</v>
      </c>
      <c r="D116" s="8">
        <f>852+231</f>
        <v>1083</v>
      </c>
      <c r="E116" s="8">
        <f>846+304</f>
        <v>1150</v>
      </c>
      <c r="F116" s="8">
        <f>854+305</f>
        <v>1159</v>
      </c>
      <c r="G116" s="8">
        <f>862+221</f>
        <v>1083</v>
      </c>
      <c r="H116" s="8">
        <f>833+407</f>
        <v>1240</v>
      </c>
      <c r="I116" s="8">
        <f>829+261</f>
        <v>1090</v>
      </c>
      <c r="J116" s="8">
        <f>734+275</f>
        <v>1009</v>
      </c>
      <c r="K116" s="8">
        <f>769+274</f>
        <v>1043</v>
      </c>
      <c r="L116" s="8">
        <f>750+312</f>
        <v>1062</v>
      </c>
      <c r="M116" s="8">
        <f>704+400</f>
        <v>1104</v>
      </c>
      <c r="N116" s="13">
        <v>1091.5833333333333</v>
      </c>
    </row>
    <row r="117" spans="1:14" ht="12.75" hidden="1">
      <c r="A117" t="s">
        <v>71</v>
      </c>
      <c r="B117" s="9">
        <f>676+270</f>
        <v>946</v>
      </c>
      <c r="C117" s="9">
        <f>617+118</f>
        <v>735</v>
      </c>
      <c r="D117" s="9">
        <f>771+188</f>
        <v>959</v>
      </c>
      <c r="E117" s="9">
        <f>708+236</f>
        <v>944</v>
      </c>
      <c r="F117" s="9">
        <f>679+176</f>
        <v>855</v>
      </c>
      <c r="G117" s="9">
        <v>1062</v>
      </c>
      <c r="H117" s="9">
        <v>1068</v>
      </c>
      <c r="I117" s="9">
        <f>796+339</f>
        <v>1135</v>
      </c>
      <c r="J117" s="9">
        <f>772+234</f>
        <v>1006</v>
      </c>
      <c r="K117" s="9">
        <v>1097</v>
      </c>
      <c r="L117" s="9">
        <f>808+361</f>
        <v>1169</v>
      </c>
      <c r="M117" s="9">
        <f>798+402</f>
        <v>1200</v>
      </c>
      <c r="N117" s="13">
        <v>1014.6666666666666</v>
      </c>
    </row>
    <row r="118" spans="1:14" ht="12.75" hidden="1">
      <c r="A118" t="s">
        <v>37</v>
      </c>
      <c r="B118" s="8">
        <f>615+185</f>
        <v>800</v>
      </c>
      <c r="C118" s="8">
        <f>598+189</f>
        <v>787</v>
      </c>
      <c r="D118" s="8">
        <f>620+151</f>
        <v>771</v>
      </c>
      <c r="E118" s="8">
        <f>619+184</f>
        <v>803</v>
      </c>
      <c r="F118" s="8">
        <f>619+333</f>
        <v>952</v>
      </c>
      <c r="G118" s="8">
        <f>612+120</f>
        <v>732</v>
      </c>
      <c r="H118" s="8">
        <f>582+203</f>
        <v>785</v>
      </c>
      <c r="I118" s="8">
        <v>644</v>
      </c>
      <c r="J118" s="8">
        <f>702+250</f>
        <v>952</v>
      </c>
      <c r="K118" s="8">
        <f>811+134</f>
        <v>945</v>
      </c>
      <c r="L118" s="8">
        <f>646+198</f>
        <v>844</v>
      </c>
      <c r="M118" s="8">
        <f>629+302</f>
        <v>931</v>
      </c>
      <c r="N118" s="13">
        <v>828.8333333333334</v>
      </c>
    </row>
    <row r="119" spans="1:14" ht="12.75" hidden="1">
      <c r="A119" t="s">
        <v>38</v>
      </c>
      <c r="B119" s="8">
        <v>636</v>
      </c>
      <c r="C119" s="8">
        <v>626</v>
      </c>
      <c r="D119" s="8">
        <f>560+214</f>
        <v>774</v>
      </c>
      <c r="E119" s="8">
        <f>547+147</f>
        <v>694</v>
      </c>
      <c r="F119" s="8">
        <f>537+146</f>
        <v>683</v>
      </c>
      <c r="G119" s="8">
        <f>557+217</f>
        <v>774</v>
      </c>
      <c r="H119" s="8">
        <f>589+59</f>
        <v>648</v>
      </c>
      <c r="I119" s="8">
        <f>577+180</f>
        <v>757</v>
      </c>
      <c r="J119" s="8">
        <f>556+86</f>
        <v>642</v>
      </c>
      <c r="K119" s="8">
        <f>582+203</f>
        <v>785</v>
      </c>
      <c r="L119" s="8">
        <f>607+150</f>
        <v>757</v>
      </c>
      <c r="M119" s="8">
        <f>559+255</f>
        <v>814</v>
      </c>
      <c r="N119" s="13">
        <v>715.8333333333334</v>
      </c>
    </row>
    <row r="120" spans="1:13" ht="12.75" hidden="1">
      <c r="A120" t="s">
        <v>39</v>
      </c>
      <c r="B120" s="8">
        <v>628.9878999999999</v>
      </c>
      <c r="C120" s="8">
        <v>574.67528</v>
      </c>
      <c r="D120" s="8">
        <v>675.36303</v>
      </c>
      <c r="E120" s="8">
        <v>629.93389</v>
      </c>
      <c r="F120" s="8">
        <v>616.02142</v>
      </c>
      <c r="G120" s="8">
        <v>630.38013</v>
      </c>
      <c r="H120" s="8">
        <v>673.97674</v>
      </c>
      <c r="I120" s="8">
        <v>462.7492</v>
      </c>
      <c r="J120" s="8">
        <v>839.8942099999999</v>
      </c>
      <c r="K120" s="8">
        <v>753.22459</v>
      </c>
      <c r="L120" s="8">
        <v>668.89287</v>
      </c>
      <c r="M120" s="8">
        <v>768.21862</v>
      </c>
    </row>
    <row r="121" spans="2:14" ht="12.75">
      <c r="B121" s="7" t="s">
        <v>77</v>
      </c>
      <c r="C121" s="7" t="s">
        <v>78</v>
      </c>
      <c r="D121" s="7" t="s">
        <v>79</v>
      </c>
      <c r="E121" s="7" t="s">
        <v>80</v>
      </c>
      <c r="F121" s="7" t="s">
        <v>81</v>
      </c>
      <c r="G121" s="7" t="s">
        <v>82</v>
      </c>
      <c r="H121" s="7" t="s">
        <v>83</v>
      </c>
      <c r="I121" s="7" t="s">
        <v>84</v>
      </c>
      <c r="J121" s="7" t="s">
        <v>85</v>
      </c>
      <c r="K121" s="7" t="s">
        <v>86</v>
      </c>
      <c r="L121" s="7" t="s">
        <v>87</v>
      </c>
      <c r="M121" s="7" t="s">
        <v>88</v>
      </c>
      <c r="N121" s="6" t="s">
        <v>119</v>
      </c>
    </row>
    <row r="122" spans="1:14" ht="12.75">
      <c r="A122" s="15" t="s">
        <v>286</v>
      </c>
      <c r="B122" s="16">
        <v>322</v>
      </c>
      <c r="C122" s="16">
        <v>297</v>
      </c>
      <c r="D122" s="16">
        <v>308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3">
        <f>SUM(B122:M122)/Q$1</f>
        <v>309</v>
      </c>
    </row>
    <row r="123" spans="1:14" ht="12.75">
      <c r="A123" s="15" t="s">
        <v>287</v>
      </c>
      <c r="B123" s="16">
        <v>121</v>
      </c>
      <c r="C123" s="16">
        <v>176</v>
      </c>
      <c r="D123" s="16">
        <v>331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3">
        <f>SUM(B123:M123)/Q$1</f>
        <v>209.33333333333334</v>
      </c>
    </row>
    <row r="124" spans="1:14" ht="12.75">
      <c r="A124" s="15" t="s">
        <v>255</v>
      </c>
      <c r="B124" s="16">
        <v>81</v>
      </c>
      <c r="C124" s="16">
        <v>135</v>
      </c>
      <c r="D124" s="16">
        <v>285</v>
      </c>
      <c r="E124" s="16">
        <v>179</v>
      </c>
      <c r="F124" s="16">
        <v>-5</v>
      </c>
      <c r="G124" s="16">
        <v>134</v>
      </c>
      <c r="H124" s="16">
        <v>120</v>
      </c>
      <c r="I124" s="16">
        <v>77</v>
      </c>
      <c r="J124" s="16">
        <v>226</v>
      </c>
      <c r="K124" s="16">
        <v>302</v>
      </c>
      <c r="L124" s="16">
        <v>381</v>
      </c>
      <c r="M124" s="16">
        <v>398</v>
      </c>
      <c r="N124" s="13">
        <f aca="true" t="shared" si="8" ref="N124:N129">SUM(B124:M124)/12</f>
        <v>192.75</v>
      </c>
    </row>
    <row r="125" spans="1:14" ht="12.75">
      <c r="A125" s="15" t="s">
        <v>237</v>
      </c>
      <c r="B125" s="16">
        <v>148</v>
      </c>
      <c r="C125" s="16">
        <v>133</v>
      </c>
      <c r="D125" s="16">
        <v>-59</v>
      </c>
      <c r="E125" s="16">
        <v>15</v>
      </c>
      <c r="F125" s="16">
        <v>-62</v>
      </c>
      <c r="G125" s="16">
        <v>-40</v>
      </c>
      <c r="H125" s="16">
        <v>-32</v>
      </c>
      <c r="I125" s="16">
        <v>161</v>
      </c>
      <c r="J125" s="16">
        <v>195</v>
      </c>
      <c r="K125" s="16">
        <v>146</v>
      </c>
      <c r="L125" s="16">
        <v>207</v>
      </c>
      <c r="M125" s="16">
        <v>163</v>
      </c>
      <c r="N125" s="13">
        <f t="shared" si="8"/>
        <v>81.25</v>
      </c>
    </row>
    <row r="126" spans="1:14" ht="12.75">
      <c r="A126" s="15" t="s">
        <v>218</v>
      </c>
      <c r="B126" s="16">
        <v>335</v>
      </c>
      <c r="C126" s="16">
        <v>316</v>
      </c>
      <c r="D126" s="16">
        <v>248</v>
      </c>
      <c r="E126" s="16">
        <v>318</v>
      </c>
      <c r="F126" s="16">
        <v>226</v>
      </c>
      <c r="G126" s="16">
        <v>335</v>
      </c>
      <c r="H126" s="16">
        <v>209</v>
      </c>
      <c r="I126" s="16">
        <v>258</v>
      </c>
      <c r="J126" s="16">
        <v>209</v>
      </c>
      <c r="K126" s="16">
        <v>178</v>
      </c>
      <c r="L126" s="16">
        <v>80</v>
      </c>
      <c r="M126" s="16">
        <v>-96</v>
      </c>
      <c r="N126" s="13">
        <f t="shared" si="8"/>
        <v>218</v>
      </c>
    </row>
    <row r="127" spans="1:14" ht="12.75">
      <c r="A127" s="15" t="s">
        <v>196</v>
      </c>
      <c r="B127" s="16">
        <v>149</v>
      </c>
      <c r="C127" s="16">
        <v>196</v>
      </c>
      <c r="D127" s="16">
        <v>365</v>
      </c>
      <c r="E127" s="16">
        <v>140</v>
      </c>
      <c r="F127" s="16">
        <v>278</v>
      </c>
      <c r="G127" s="16">
        <v>345</v>
      </c>
      <c r="H127" s="16">
        <v>296</v>
      </c>
      <c r="I127" s="16">
        <v>374</v>
      </c>
      <c r="J127" s="16">
        <v>234</v>
      </c>
      <c r="K127" s="16">
        <v>382</v>
      </c>
      <c r="L127" s="16">
        <v>38</v>
      </c>
      <c r="M127" s="16">
        <v>567</v>
      </c>
      <c r="N127" s="13">
        <f t="shared" si="8"/>
        <v>280.3333333333333</v>
      </c>
    </row>
    <row r="128" spans="1:14" ht="12.75" hidden="1">
      <c r="A128" s="15" t="s">
        <v>180</v>
      </c>
      <c r="B128" s="16">
        <v>129</v>
      </c>
      <c r="C128" s="16">
        <v>85</v>
      </c>
      <c r="D128" s="16">
        <v>160</v>
      </c>
      <c r="E128" s="16">
        <v>47</v>
      </c>
      <c r="F128" s="16">
        <v>177</v>
      </c>
      <c r="G128" s="16">
        <v>186</v>
      </c>
      <c r="H128" s="16">
        <v>285</v>
      </c>
      <c r="I128" s="16">
        <v>328</v>
      </c>
      <c r="J128" s="16">
        <v>234</v>
      </c>
      <c r="K128" s="16">
        <v>372</v>
      </c>
      <c r="L128" s="16">
        <v>474</v>
      </c>
      <c r="M128" s="16">
        <v>100</v>
      </c>
      <c r="N128" s="13">
        <f t="shared" si="8"/>
        <v>214.75</v>
      </c>
    </row>
    <row r="129" spans="1:14" ht="12.75" hidden="1">
      <c r="A129" t="s">
        <v>151</v>
      </c>
      <c r="B129" s="8">
        <v>128</v>
      </c>
      <c r="C129" s="8">
        <v>93</v>
      </c>
      <c r="D129" s="8">
        <v>119</v>
      </c>
      <c r="E129" s="8">
        <v>102</v>
      </c>
      <c r="F129" s="8">
        <v>98</v>
      </c>
      <c r="G129" s="8">
        <v>155</v>
      </c>
      <c r="H129" s="8">
        <v>65</v>
      </c>
      <c r="I129" s="8">
        <v>8</v>
      </c>
      <c r="J129" s="8">
        <v>119</v>
      </c>
      <c r="K129" s="8">
        <v>165</v>
      </c>
      <c r="L129" s="8">
        <v>141</v>
      </c>
      <c r="M129" s="8">
        <v>188</v>
      </c>
      <c r="N129" s="13">
        <f t="shared" si="8"/>
        <v>115.08333333333333</v>
      </c>
    </row>
    <row r="130" spans="1:14" ht="12.75" hidden="1">
      <c r="A130" t="s">
        <v>129</v>
      </c>
      <c r="B130" s="8">
        <v>186</v>
      </c>
      <c r="C130" s="8">
        <v>143</v>
      </c>
      <c r="D130" s="8">
        <v>199</v>
      </c>
      <c r="E130" s="8">
        <v>134</v>
      </c>
      <c r="F130" s="8">
        <v>165</v>
      </c>
      <c r="G130" s="8">
        <v>152</v>
      </c>
      <c r="H130" s="8">
        <v>128</v>
      </c>
      <c r="I130" s="8">
        <v>183</v>
      </c>
      <c r="J130" s="8">
        <v>160</v>
      </c>
      <c r="K130" s="8">
        <v>93</v>
      </c>
      <c r="L130" s="8">
        <v>104</v>
      </c>
      <c r="M130" s="8">
        <v>136</v>
      </c>
      <c r="N130" s="13">
        <v>148.58333333333334</v>
      </c>
    </row>
    <row r="131" spans="1:14" ht="12.75" hidden="1">
      <c r="A131" t="s">
        <v>105</v>
      </c>
      <c r="B131" s="8">
        <v>238</v>
      </c>
      <c r="C131" s="8">
        <v>154</v>
      </c>
      <c r="D131" s="8">
        <v>177</v>
      </c>
      <c r="E131" s="8">
        <v>217</v>
      </c>
      <c r="F131" s="8">
        <v>165</v>
      </c>
      <c r="G131" s="8">
        <v>217</v>
      </c>
      <c r="H131" s="8">
        <v>157</v>
      </c>
      <c r="I131" s="8">
        <v>209</v>
      </c>
      <c r="J131" s="8">
        <v>201</v>
      </c>
      <c r="K131" s="8">
        <v>172</v>
      </c>
      <c r="L131" s="8">
        <v>447</v>
      </c>
      <c r="M131" s="8">
        <v>173</v>
      </c>
      <c r="N131" s="13">
        <v>210.58333333333334</v>
      </c>
    </row>
    <row r="132" spans="1:14" ht="12.75" hidden="1">
      <c r="A132" t="s">
        <v>70</v>
      </c>
      <c r="B132" s="9">
        <v>147</v>
      </c>
      <c r="C132" s="9">
        <v>219</v>
      </c>
      <c r="D132" s="9">
        <v>226</v>
      </c>
      <c r="E132" s="9">
        <v>193</v>
      </c>
      <c r="F132" s="9">
        <v>157</v>
      </c>
      <c r="G132" s="9">
        <v>190</v>
      </c>
      <c r="H132" s="9">
        <v>178</v>
      </c>
      <c r="I132" s="9">
        <v>180</v>
      </c>
      <c r="J132" s="9">
        <v>218</v>
      </c>
      <c r="K132" s="9">
        <v>173</v>
      </c>
      <c r="L132" s="9">
        <v>185</v>
      </c>
      <c r="M132" s="9">
        <v>87</v>
      </c>
      <c r="N132" s="13">
        <v>179.41666666666666</v>
      </c>
    </row>
    <row r="133" spans="1:14" ht="12.75" hidden="1">
      <c r="A133" t="s">
        <v>40</v>
      </c>
      <c r="B133" s="8">
        <v>149</v>
      </c>
      <c r="C133" s="8">
        <v>126</v>
      </c>
      <c r="D133" s="8">
        <v>121</v>
      </c>
      <c r="E133" s="8">
        <v>150</v>
      </c>
      <c r="F133" s="8">
        <v>140</v>
      </c>
      <c r="G133" s="8">
        <v>137</v>
      </c>
      <c r="H133" s="8">
        <v>178</v>
      </c>
      <c r="I133" s="8">
        <v>194</v>
      </c>
      <c r="J133" s="8">
        <v>190</v>
      </c>
      <c r="K133" s="8">
        <v>197</v>
      </c>
      <c r="L133" s="8">
        <v>129</v>
      </c>
      <c r="M133" s="8">
        <v>-113</v>
      </c>
      <c r="N133" s="13">
        <v>133.16666666666666</v>
      </c>
    </row>
    <row r="134" spans="1:14" ht="12.75" hidden="1">
      <c r="A134" t="s">
        <v>41</v>
      </c>
      <c r="B134" s="8">
        <v>154</v>
      </c>
      <c r="C134" s="8">
        <v>136</v>
      </c>
      <c r="D134" s="8">
        <v>147</v>
      </c>
      <c r="E134" s="8">
        <v>131</v>
      </c>
      <c r="F134" s="8">
        <v>131</v>
      </c>
      <c r="G134" s="8">
        <v>119</v>
      </c>
      <c r="H134" s="8">
        <v>136</v>
      </c>
      <c r="I134" s="8">
        <v>124</v>
      </c>
      <c r="J134" s="8">
        <v>136</v>
      </c>
      <c r="K134" s="8">
        <v>151</v>
      </c>
      <c r="L134" s="8">
        <v>127</v>
      </c>
      <c r="M134" s="8">
        <v>83</v>
      </c>
      <c r="N134" s="13">
        <v>131.25</v>
      </c>
    </row>
    <row r="135" spans="1:13" ht="12.75" hidden="1">
      <c r="A135" t="s">
        <v>42</v>
      </c>
      <c r="B135" s="8">
        <v>129.70431</v>
      </c>
      <c r="C135" s="8">
        <v>115.46097</v>
      </c>
      <c r="D135" s="8">
        <v>132.60958</v>
      </c>
      <c r="E135" s="8">
        <v>104.06085</v>
      </c>
      <c r="F135" s="8">
        <v>134.68082</v>
      </c>
      <c r="G135" s="8">
        <v>154.40012</v>
      </c>
      <c r="H135" s="8">
        <v>84.07609</v>
      </c>
      <c r="I135" s="8">
        <v>138.57729</v>
      </c>
      <c r="J135" s="8">
        <v>139.81282000000002</v>
      </c>
      <c r="K135" s="8">
        <v>112.51910000000001</v>
      </c>
      <c r="L135" s="8">
        <v>123.47227000000001</v>
      </c>
      <c r="M135" s="8">
        <v>112.1083</v>
      </c>
    </row>
    <row r="136" spans="2:14" ht="12.75">
      <c r="B136" s="7" t="s">
        <v>77</v>
      </c>
      <c r="C136" s="7" t="s">
        <v>78</v>
      </c>
      <c r="D136" s="7" t="s">
        <v>79</v>
      </c>
      <c r="E136" s="7" t="s">
        <v>80</v>
      </c>
      <c r="F136" s="7" t="s">
        <v>81</v>
      </c>
      <c r="G136" s="7" t="s">
        <v>82</v>
      </c>
      <c r="H136" s="7" t="s">
        <v>83</v>
      </c>
      <c r="I136" s="7" t="s">
        <v>84</v>
      </c>
      <c r="J136" s="7" t="s">
        <v>85</v>
      </c>
      <c r="K136" s="7" t="s">
        <v>86</v>
      </c>
      <c r="L136" s="7" t="s">
        <v>87</v>
      </c>
      <c r="M136" s="7" t="s">
        <v>88</v>
      </c>
      <c r="N136" s="6" t="s">
        <v>119</v>
      </c>
    </row>
    <row r="137" spans="1:14" ht="12.75">
      <c r="A137" s="15" t="s">
        <v>296</v>
      </c>
      <c r="B137" s="16">
        <v>347</v>
      </c>
      <c r="C137" s="16">
        <v>227</v>
      </c>
      <c r="D137" s="16">
        <v>470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3">
        <f>SUM(B137:M137)/Q$1</f>
        <v>348</v>
      </c>
    </row>
    <row r="138" spans="1:14" ht="12.75">
      <c r="A138" s="15" t="s">
        <v>297</v>
      </c>
      <c r="B138" s="16">
        <v>278</v>
      </c>
      <c r="C138" s="16">
        <v>440</v>
      </c>
      <c r="D138" s="16">
        <v>329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3">
        <f>SUM(B138:M138)/Q$1</f>
        <v>349</v>
      </c>
    </row>
    <row r="139" spans="1:14" ht="12.75">
      <c r="A139" s="15" t="s">
        <v>257</v>
      </c>
      <c r="B139" s="16">
        <v>277</v>
      </c>
      <c r="C139" s="16">
        <v>439</v>
      </c>
      <c r="D139" s="16">
        <v>329</v>
      </c>
      <c r="E139" s="16">
        <v>-27</v>
      </c>
      <c r="F139" s="16">
        <v>504</v>
      </c>
      <c r="G139" s="16">
        <v>422</v>
      </c>
      <c r="H139" s="16">
        <v>476</v>
      </c>
      <c r="I139" s="16">
        <v>154</v>
      </c>
      <c r="J139" s="16">
        <v>367</v>
      </c>
      <c r="K139" s="16">
        <v>405</v>
      </c>
      <c r="L139" s="16">
        <v>185</v>
      </c>
      <c r="M139" s="16">
        <v>-583</v>
      </c>
      <c r="N139" s="13">
        <f aca="true" t="shared" si="9" ref="N139:N144">SUM(B139:M139)/12</f>
        <v>245.66666666666666</v>
      </c>
    </row>
    <row r="140" spans="1:14" ht="12.75">
      <c r="A140" s="15" t="s">
        <v>238</v>
      </c>
      <c r="B140" s="16">
        <v>361</v>
      </c>
      <c r="C140" s="16">
        <v>326</v>
      </c>
      <c r="D140" s="16">
        <v>212</v>
      </c>
      <c r="E140" s="16">
        <v>467</v>
      </c>
      <c r="F140" s="16">
        <v>668</v>
      </c>
      <c r="G140" s="16">
        <v>-188</v>
      </c>
      <c r="H140" s="16">
        <v>544</v>
      </c>
      <c r="I140" s="16">
        <v>443</v>
      </c>
      <c r="J140" s="16">
        <v>429</v>
      </c>
      <c r="K140" s="16">
        <v>531</v>
      </c>
      <c r="L140" s="16">
        <v>322</v>
      </c>
      <c r="M140" s="16">
        <v>-2624</v>
      </c>
      <c r="N140" s="13">
        <f t="shared" si="9"/>
        <v>124.25</v>
      </c>
    </row>
    <row r="141" spans="1:14" ht="12.75">
      <c r="A141" s="15" t="s">
        <v>219</v>
      </c>
      <c r="B141" s="16">
        <v>524</v>
      </c>
      <c r="C141" s="16">
        <v>-107</v>
      </c>
      <c r="D141" s="16">
        <v>1068</v>
      </c>
      <c r="E141" s="16">
        <v>405</v>
      </c>
      <c r="F141" s="16">
        <v>1120</v>
      </c>
      <c r="G141" s="16">
        <v>1818</v>
      </c>
      <c r="H141" s="16">
        <v>501</v>
      </c>
      <c r="I141" s="16">
        <v>217</v>
      </c>
      <c r="J141" s="16">
        <v>532</v>
      </c>
      <c r="K141" s="16">
        <v>517</v>
      </c>
      <c r="L141" s="16">
        <v>2044</v>
      </c>
      <c r="M141" s="16">
        <v>-25</v>
      </c>
      <c r="N141" s="13">
        <f t="shared" si="9"/>
        <v>717.8333333333334</v>
      </c>
    </row>
    <row r="142" spans="1:14" ht="12.75">
      <c r="A142" s="15" t="s">
        <v>197</v>
      </c>
      <c r="B142" s="16">
        <v>149</v>
      </c>
      <c r="C142" s="16">
        <v>442</v>
      </c>
      <c r="D142" s="16">
        <v>-321</v>
      </c>
      <c r="E142" s="16">
        <v>174</v>
      </c>
      <c r="F142" s="16">
        <v>241</v>
      </c>
      <c r="G142" s="16">
        <v>674</v>
      </c>
      <c r="H142" s="16">
        <v>310</v>
      </c>
      <c r="I142" s="16">
        <v>708</v>
      </c>
      <c r="J142" s="16">
        <v>-12</v>
      </c>
      <c r="K142" s="16">
        <v>1534</v>
      </c>
      <c r="L142" s="16">
        <v>1393</v>
      </c>
      <c r="M142" s="16">
        <v>211</v>
      </c>
      <c r="N142" s="13">
        <f t="shared" si="9"/>
        <v>458.5833333333333</v>
      </c>
    </row>
    <row r="143" spans="1:14" ht="12.75" hidden="1">
      <c r="A143" s="15" t="s">
        <v>181</v>
      </c>
      <c r="B143" s="16">
        <v>400</v>
      </c>
      <c r="C143" s="16">
        <v>398</v>
      </c>
      <c r="D143" s="16">
        <v>364</v>
      </c>
      <c r="E143" s="16">
        <v>585</v>
      </c>
      <c r="F143" s="16">
        <v>448</v>
      </c>
      <c r="G143" s="16">
        <v>369</v>
      </c>
      <c r="H143" s="16">
        <v>648</v>
      </c>
      <c r="I143" s="16">
        <v>320</v>
      </c>
      <c r="J143" s="16">
        <v>504</v>
      </c>
      <c r="K143" s="16">
        <v>544</v>
      </c>
      <c r="L143" s="16">
        <v>33</v>
      </c>
      <c r="M143" s="16">
        <v>705</v>
      </c>
      <c r="N143" s="13">
        <f t="shared" si="9"/>
        <v>443.1666666666667</v>
      </c>
    </row>
    <row r="144" spans="1:14" ht="12.75" hidden="1">
      <c r="A144" t="s">
        <v>152</v>
      </c>
      <c r="B144" s="8">
        <v>259</v>
      </c>
      <c r="C144" s="8">
        <v>176</v>
      </c>
      <c r="D144" s="8">
        <v>409</v>
      </c>
      <c r="E144" s="8">
        <v>250</v>
      </c>
      <c r="F144" s="8">
        <v>203</v>
      </c>
      <c r="G144" s="8">
        <v>-52</v>
      </c>
      <c r="H144" s="8">
        <v>187</v>
      </c>
      <c r="I144" s="8">
        <v>280</v>
      </c>
      <c r="J144" s="8">
        <v>216</v>
      </c>
      <c r="K144" s="8">
        <v>281</v>
      </c>
      <c r="L144" s="8">
        <v>125</v>
      </c>
      <c r="M144" s="8">
        <v>183</v>
      </c>
      <c r="N144" s="13">
        <f t="shared" si="9"/>
        <v>209.75</v>
      </c>
    </row>
    <row r="145" spans="1:14" ht="12.75" hidden="1">
      <c r="A145" t="s">
        <v>130</v>
      </c>
      <c r="B145" s="8">
        <v>298</v>
      </c>
      <c r="C145" s="8">
        <v>193</v>
      </c>
      <c r="D145" s="8">
        <v>458</v>
      </c>
      <c r="E145" s="8">
        <v>258</v>
      </c>
      <c r="F145" s="8">
        <v>238</v>
      </c>
      <c r="G145" s="8">
        <v>252</v>
      </c>
      <c r="H145" s="8">
        <v>131</v>
      </c>
      <c r="I145" s="8">
        <v>229</v>
      </c>
      <c r="J145" s="8">
        <v>245</v>
      </c>
      <c r="K145" s="8">
        <v>380</v>
      </c>
      <c r="L145" s="8">
        <v>108</v>
      </c>
      <c r="M145" s="8">
        <v>553</v>
      </c>
      <c r="N145" s="13">
        <v>278.5833333333333</v>
      </c>
    </row>
    <row r="146" spans="1:14" ht="12.75" hidden="1">
      <c r="A146" t="s">
        <v>106</v>
      </c>
      <c r="B146" s="8">
        <v>371</v>
      </c>
      <c r="C146" s="8">
        <v>407</v>
      </c>
      <c r="D146" s="8">
        <v>504</v>
      </c>
      <c r="E146" s="8">
        <v>314</v>
      </c>
      <c r="F146" s="8">
        <v>441</v>
      </c>
      <c r="G146" s="8">
        <v>294</v>
      </c>
      <c r="H146" s="8">
        <v>386</v>
      </c>
      <c r="I146" s="8">
        <v>365</v>
      </c>
      <c r="J146" s="8">
        <v>533</v>
      </c>
      <c r="K146" s="8">
        <v>-15</v>
      </c>
      <c r="L146" s="8">
        <v>194</v>
      </c>
      <c r="M146" s="8">
        <v>182</v>
      </c>
      <c r="N146" s="13">
        <v>331.3333333333333</v>
      </c>
    </row>
    <row r="147" spans="1:14" ht="12.75" hidden="1">
      <c r="A147" t="s">
        <v>61</v>
      </c>
      <c r="B147" s="9">
        <v>626</v>
      </c>
      <c r="C147" s="9">
        <v>309</v>
      </c>
      <c r="D147" s="9">
        <v>630</v>
      </c>
      <c r="E147" s="9">
        <v>371</v>
      </c>
      <c r="F147" s="9">
        <v>136</v>
      </c>
      <c r="G147" s="9">
        <v>709</v>
      </c>
      <c r="H147" s="9">
        <v>640</v>
      </c>
      <c r="I147" s="9">
        <v>361</v>
      </c>
      <c r="J147" s="9">
        <v>372</v>
      </c>
      <c r="K147" s="9">
        <v>754</v>
      </c>
      <c r="L147" s="9">
        <v>535</v>
      </c>
      <c r="M147" s="9">
        <v>543</v>
      </c>
      <c r="N147" s="13">
        <v>498.8333333333333</v>
      </c>
    </row>
    <row r="148" spans="1:14" ht="12.75" hidden="1">
      <c r="A148" t="s">
        <v>43</v>
      </c>
      <c r="B148" s="8">
        <v>62</v>
      </c>
      <c r="C148" s="8">
        <v>139</v>
      </c>
      <c r="D148" s="8">
        <v>593</v>
      </c>
      <c r="E148" s="8">
        <v>445</v>
      </c>
      <c r="F148" s="8">
        <v>687</v>
      </c>
      <c r="G148" s="8">
        <v>339</v>
      </c>
      <c r="H148" s="8">
        <v>474</v>
      </c>
      <c r="I148" s="8">
        <v>988</v>
      </c>
      <c r="J148" s="8">
        <v>510</v>
      </c>
      <c r="K148" s="8">
        <v>500</v>
      </c>
      <c r="L148" s="8">
        <v>698</v>
      </c>
      <c r="M148" s="8">
        <v>476</v>
      </c>
      <c r="N148" s="13">
        <v>492.5833333333333</v>
      </c>
    </row>
    <row r="149" spans="1:14" ht="12.75" hidden="1">
      <c r="A149" t="s">
        <v>44</v>
      </c>
      <c r="B149" s="8">
        <v>227</v>
      </c>
      <c r="C149" s="8">
        <v>225</v>
      </c>
      <c r="D149" s="8">
        <v>259</v>
      </c>
      <c r="E149" s="8">
        <v>354</v>
      </c>
      <c r="F149" s="8">
        <v>154</v>
      </c>
      <c r="G149" s="8">
        <v>213</v>
      </c>
      <c r="H149" s="8">
        <v>309</v>
      </c>
      <c r="I149" s="8">
        <v>396</v>
      </c>
      <c r="J149" s="8">
        <v>409</v>
      </c>
      <c r="K149" s="8">
        <v>498</v>
      </c>
      <c r="L149" s="8">
        <v>650</v>
      </c>
      <c r="M149" s="8">
        <v>429</v>
      </c>
      <c r="N149" s="13">
        <v>343.5833333333333</v>
      </c>
    </row>
    <row r="150" spans="1:13" ht="12.75" hidden="1">
      <c r="A150" t="s">
        <v>45</v>
      </c>
      <c r="B150" s="8">
        <v>247.78995</v>
      </c>
      <c r="C150" s="8">
        <v>312.96898</v>
      </c>
      <c r="D150" s="8">
        <v>287.15601000000004</v>
      </c>
      <c r="E150" s="8">
        <v>141.898</v>
      </c>
      <c r="F150" s="8">
        <v>356.825</v>
      </c>
      <c r="G150" s="8">
        <v>98.90245</v>
      </c>
      <c r="H150" s="8">
        <v>295.24</v>
      </c>
      <c r="I150" s="8">
        <v>483.395</v>
      </c>
      <c r="J150" s="8">
        <v>272.096</v>
      </c>
      <c r="K150" s="8">
        <v>134.257</v>
      </c>
      <c r="L150" s="8">
        <v>287.662</v>
      </c>
      <c r="M150" s="8">
        <v>179.25476</v>
      </c>
    </row>
    <row r="151" spans="2:14" ht="12.75">
      <c r="B151" s="7" t="s">
        <v>77</v>
      </c>
      <c r="C151" s="7" t="s">
        <v>78</v>
      </c>
      <c r="D151" s="7" t="s">
        <v>79</v>
      </c>
      <c r="E151" s="7" t="s">
        <v>80</v>
      </c>
      <c r="F151" s="7" t="s">
        <v>81</v>
      </c>
      <c r="G151" s="7" t="s">
        <v>82</v>
      </c>
      <c r="H151" s="7" t="s">
        <v>83</v>
      </c>
      <c r="I151" s="7" t="s">
        <v>84</v>
      </c>
      <c r="J151" s="7" t="s">
        <v>85</v>
      </c>
      <c r="K151" s="7" t="s">
        <v>86</v>
      </c>
      <c r="L151" s="7" t="s">
        <v>87</v>
      </c>
      <c r="M151" s="7" t="s">
        <v>88</v>
      </c>
      <c r="N151" s="6" t="s">
        <v>119</v>
      </c>
    </row>
    <row r="152" spans="1:14" ht="12.75">
      <c r="A152" s="15" t="s">
        <v>298</v>
      </c>
      <c r="B152" s="9">
        <f aca="true" t="shared" si="10" ref="B152:M153">+B197-B107-B122-B137</f>
        <v>1098</v>
      </c>
      <c r="C152" s="9">
        <f t="shared" si="10"/>
        <v>1297</v>
      </c>
      <c r="D152" s="9">
        <f t="shared" si="10"/>
        <v>1427</v>
      </c>
      <c r="E152" s="9">
        <f t="shared" si="10"/>
        <v>0</v>
      </c>
      <c r="F152" s="9">
        <f t="shared" si="10"/>
        <v>0</v>
      </c>
      <c r="G152" s="9">
        <f t="shared" si="10"/>
        <v>0</v>
      </c>
      <c r="H152" s="9">
        <f t="shared" si="10"/>
        <v>0</v>
      </c>
      <c r="I152" s="9">
        <f t="shared" si="10"/>
        <v>0</v>
      </c>
      <c r="J152" s="9">
        <f t="shared" si="10"/>
        <v>0</v>
      </c>
      <c r="K152" s="9">
        <f t="shared" si="10"/>
        <v>0</v>
      </c>
      <c r="L152" s="9">
        <f t="shared" si="10"/>
        <v>0</v>
      </c>
      <c r="M152" s="9">
        <f t="shared" si="10"/>
        <v>0</v>
      </c>
      <c r="N152" s="13">
        <f>SUM(B152:M152)/Q$1</f>
        <v>1274</v>
      </c>
    </row>
    <row r="153" spans="1:14" ht="12.75">
      <c r="A153" s="15" t="s">
        <v>299</v>
      </c>
      <c r="B153" s="9">
        <f t="shared" si="10"/>
        <v>899</v>
      </c>
      <c r="C153" s="9">
        <f t="shared" si="10"/>
        <v>1034</v>
      </c>
      <c r="D153" s="9">
        <f t="shared" si="10"/>
        <v>1069</v>
      </c>
      <c r="E153" s="9">
        <f t="shared" si="10"/>
        <v>0</v>
      </c>
      <c r="F153" s="9">
        <f t="shared" si="10"/>
        <v>0</v>
      </c>
      <c r="G153" s="9">
        <f t="shared" si="10"/>
        <v>0</v>
      </c>
      <c r="H153" s="9">
        <f t="shared" si="10"/>
        <v>0</v>
      </c>
      <c r="I153" s="9">
        <f t="shared" si="10"/>
        <v>0</v>
      </c>
      <c r="J153" s="9">
        <f t="shared" si="10"/>
        <v>0</v>
      </c>
      <c r="K153" s="9">
        <f t="shared" si="10"/>
        <v>0</v>
      </c>
      <c r="L153" s="9">
        <f t="shared" si="10"/>
        <v>0</v>
      </c>
      <c r="M153" s="9">
        <f t="shared" si="10"/>
        <v>0</v>
      </c>
      <c r="N153" s="13">
        <f>SUM(B153:M153)/Q$1</f>
        <v>1000.6666666666666</v>
      </c>
    </row>
    <row r="154" spans="1:14" ht="12.75">
      <c r="A154" s="15" t="s">
        <v>256</v>
      </c>
      <c r="B154" s="9">
        <f aca="true" t="shared" si="11" ref="B154:M154">+B200-B109-B124-B139</f>
        <v>894</v>
      </c>
      <c r="C154" s="9">
        <f t="shared" si="11"/>
        <v>470</v>
      </c>
      <c r="D154" s="9">
        <f t="shared" si="11"/>
        <v>199</v>
      </c>
      <c r="E154" s="9">
        <f t="shared" si="11"/>
        <v>529</v>
      </c>
      <c r="F154" s="9">
        <f t="shared" si="11"/>
        <v>1060</v>
      </c>
      <c r="G154" s="9">
        <f t="shared" si="11"/>
        <v>-292</v>
      </c>
      <c r="H154" s="9">
        <f t="shared" si="11"/>
        <v>586</v>
      </c>
      <c r="I154" s="9">
        <f t="shared" si="11"/>
        <v>1038</v>
      </c>
      <c r="J154" s="9">
        <f t="shared" si="11"/>
        <v>1009</v>
      </c>
      <c r="K154" s="9">
        <f t="shared" si="11"/>
        <v>755</v>
      </c>
      <c r="L154" s="9">
        <f t="shared" si="11"/>
        <v>1132</v>
      </c>
      <c r="M154" s="9">
        <f t="shared" si="11"/>
        <v>-1880</v>
      </c>
      <c r="N154" s="13">
        <f aca="true" t="shared" si="12" ref="N154:N159">SUM(B154:M154)/12</f>
        <v>458.3333333333333</v>
      </c>
    </row>
    <row r="155" spans="1:14" ht="12.75">
      <c r="A155" s="15" t="s">
        <v>239</v>
      </c>
      <c r="B155" s="9">
        <f aca="true" t="shared" si="13" ref="B155:M155">+B200-B110-B125-B140</f>
        <v>779</v>
      </c>
      <c r="C155" s="9">
        <f t="shared" si="13"/>
        <v>718</v>
      </c>
      <c r="D155" s="9">
        <f t="shared" si="13"/>
        <v>800</v>
      </c>
      <c r="E155" s="9">
        <f t="shared" si="13"/>
        <v>848</v>
      </c>
      <c r="F155" s="9">
        <f t="shared" si="13"/>
        <v>748</v>
      </c>
      <c r="G155" s="9">
        <f t="shared" si="13"/>
        <v>783</v>
      </c>
      <c r="H155" s="9">
        <f t="shared" si="13"/>
        <v>871</v>
      </c>
      <c r="I155" s="9">
        <f t="shared" si="13"/>
        <v>929</v>
      </c>
      <c r="J155" s="9">
        <f t="shared" si="13"/>
        <v>999</v>
      </c>
      <c r="K155" s="9">
        <f t="shared" si="13"/>
        <v>892</v>
      </c>
      <c r="L155" s="9">
        <f t="shared" si="13"/>
        <v>879</v>
      </c>
      <c r="M155" s="9">
        <f t="shared" si="13"/>
        <v>848</v>
      </c>
      <c r="N155" s="13">
        <f t="shared" si="12"/>
        <v>841.1666666666666</v>
      </c>
    </row>
    <row r="156" spans="1:14" ht="12.75">
      <c r="A156" s="15" t="s">
        <v>220</v>
      </c>
      <c r="B156" s="9">
        <f>+B201-B111-B126-B141</f>
        <v>1597</v>
      </c>
      <c r="C156" s="9">
        <f aca="true" t="shared" si="14" ref="C156:M156">+C201-C141-C126-C111</f>
        <v>1090</v>
      </c>
      <c r="D156" s="9">
        <f t="shared" si="14"/>
        <v>1206</v>
      </c>
      <c r="E156" s="9">
        <f t="shared" si="14"/>
        <v>1268</v>
      </c>
      <c r="F156" s="9">
        <f t="shared" si="14"/>
        <v>1312</v>
      </c>
      <c r="G156" s="9">
        <f t="shared" si="14"/>
        <v>1206</v>
      </c>
      <c r="H156" s="9">
        <f t="shared" si="14"/>
        <v>1183</v>
      </c>
      <c r="I156" s="9">
        <f t="shared" si="14"/>
        <v>1009</v>
      </c>
      <c r="J156" s="9">
        <f t="shared" si="14"/>
        <v>971</v>
      </c>
      <c r="K156" s="9">
        <f t="shared" si="14"/>
        <v>1092</v>
      </c>
      <c r="L156" s="9">
        <f t="shared" si="14"/>
        <v>974</v>
      </c>
      <c r="M156" s="9">
        <f t="shared" si="14"/>
        <v>1227</v>
      </c>
      <c r="N156" s="13">
        <f t="shared" si="12"/>
        <v>1177.9166666666667</v>
      </c>
    </row>
    <row r="157" spans="1:14" ht="12.75">
      <c r="A157" t="s">
        <v>198</v>
      </c>
      <c r="B157" s="9">
        <f aca="true" t="shared" si="15" ref="B157:B165">+B202-B142-B127-B112</f>
        <v>1557</v>
      </c>
      <c r="C157" s="9">
        <f aca="true" t="shared" si="16" ref="C157:M157">+C202-C142-C127-C112</f>
        <v>1331</v>
      </c>
      <c r="D157" s="9">
        <f t="shared" si="16"/>
        <v>1270</v>
      </c>
      <c r="E157" s="9">
        <f t="shared" si="16"/>
        <v>1059</v>
      </c>
      <c r="F157" s="9">
        <f t="shared" si="16"/>
        <v>994</v>
      </c>
      <c r="G157" s="9">
        <f t="shared" si="16"/>
        <v>1397</v>
      </c>
      <c r="H157" s="9">
        <f t="shared" si="16"/>
        <v>1280</v>
      </c>
      <c r="I157" s="9">
        <f t="shared" si="16"/>
        <v>1227</v>
      </c>
      <c r="J157" s="9">
        <f t="shared" si="16"/>
        <v>1150</v>
      </c>
      <c r="K157" s="9">
        <f t="shared" si="16"/>
        <v>932</v>
      </c>
      <c r="L157" s="9">
        <f t="shared" si="16"/>
        <v>1333</v>
      </c>
      <c r="M157" s="9">
        <f t="shared" si="16"/>
        <v>1593</v>
      </c>
      <c r="N157" s="13">
        <f t="shared" si="12"/>
        <v>1260.25</v>
      </c>
    </row>
    <row r="158" spans="1:14" ht="12.75" hidden="1">
      <c r="A158" t="s">
        <v>182</v>
      </c>
      <c r="B158" s="9">
        <f t="shared" si="15"/>
        <v>578</v>
      </c>
      <c r="C158" s="9">
        <f aca="true" t="shared" si="17" ref="C158:M158">+C203-C143-C128-C113</f>
        <v>602</v>
      </c>
      <c r="D158" s="9">
        <f t="shared" si="17"/>
        <v>724</v>
      </c>
      <c r="E158" s="9">
        <f t="shared" si="17"/>
        <v>846</v>
      </c>
      <c r="F158" s="9">
        <f t="shared" si="17"/>
        <v>652</v>
      </c>
      <c r="G158" s="9">
        <f t="shared" si="17"/>
        <v>713</v>
      </c>
      <c r="H158" s="9">
        <f t="shared" si="17"/>
        <v>683</v>
      </c>
      <c r="I158" s="9">
        <f t="shared" si="17"/>
        <v>585</v>
      </c>
      <c r="J158" s="9">
        <f t="shared" si="17"/>
        <v>602</v>
      </c>
      <c r="K158" s="9">
        <f t="shared" si="17"/>
        <v>891</v>
      </c>
      <c r="L158" s="9">
        <f t="shared" si="17"/>
        <v>1462</v>
      </c>
      <c r="M158" s="9">
        <f t="shared" si="17"/>
        <v>1227</v>
      </c>
      <c r="N158" s="13">
        <f t="shared" si="12"/>
        <v>797.0833333333334</v>
      </c>
    </row>
    <row r="159" spans="1:14" ht="12.75" hidden="1">
      <c r="A159" t="s">
        <v>153</v>
      </c>
      <c r="B159" s="9">
        <f t="shared" si="15"/>
        <v>614</v>
      </c>
      <c r="C159" s="9">
        <f aca="true" t="shared" si="18" ref="C159:M159">+C204-C144-C129-C114</f>
        <v>883</v>
      </c>
      <c r="D159" s="9">
        <f t="shared" si="18"/>
        <v>641</v>
      </c>
      <c r="E159" s="9">
        <f t="shared" si="18"/>
        <v>669</v>
      </c>
      <c r="F159" s="9">
        <f t="shared" si="18"/>
        <v>623</v>
      </c>
      <c r="G159" s="9">
        <f t="shared" si="18"/>
        <v>664</v>
      </c>
      <c r="H159" s="9">
        <f t="shared" si="18"/>
        <v>638</v>
      </c>
      <c r="I159" s="9">
        <f t="shared" si="18"/>
        <v>657</v>
      </c>
      <c r="J159" s="9">
        <f t="shared" si="18"/>
        <v>660</v>
      </c>
      <c r="K159" s="9">
        <f t="shared" si="18"/>
        <v>721</v>
      </c>
      <c r="L159" s="9">
        <f t="shared" si="18"/>
        <v>687</v>
      </c>
      <c r="M159" s="9">
        <f t="shared" si="18"/>
        <v>679</v>
      </c>
      <c r="N159" s="13">
        <f t="shared" si="12"/>
        <v>678</v>
      </c>
    </row>
    <row r="160" spans="1:14" ht="12.75" hidden="1">
      <c r="A160" t="s">
        <v>131</v>
      </c>
      <c r="B160" s="9">
        <f t="shared" si="15"/>
        <v>588</v>
      </c>
      <c r="C160" s="9">
        <f aca="true" t="shared" si="19" ref="C160:M160">+C205-C145-C130-C115</f>
        <v>731</v>
      </c>
      <c r="D160" s="9">
        <f t="shared" si="19"/>
        <v>588</v>
      </c>
      <c r="E160" s="9">
        <f t="shared" si="19"/>
        <v>651</v>
      </c>
      <c r="F160" s="9">
        <f t="shared" si="19"/>
        <v>649</v>
      </c>
      <c r="G160" s="9">
        <f t="shared" si="19"/>
        <v>670</v>
      </c>
      <c r="H160" s="9">
        <f t="shared" si="19"/>
        <v>607</v>
      </c>
      <c r="I160" s="9">
        <f t="shared" si="19"/>
        <v>612</v>
      </c>
      <c r="J160" s="9">
        <f t="shared" si="19"/>
        <v>693</v>
      </c>
      <c r="K160" s="9">
        <f t="shared" si="19"/>
        <v>626</v>
      </c>
      <c r="L160" s="9">
        <f t="shared" si="19"/>
        <v>595</v>
      </c>
      <c r="M160" s="9">
        <f t="shared" si="19"/>
        <v>718</v>
      </c>
      <c r="N160" s="13">
        <v>644</v>
      </c>
    </row>
    <row r="161" spans="1:14" ht="12.75" hidden="1">
      <c r="A161" t="s">
        <v>107</v>
      </c>
      <c r="B161" s="9">
        <f t="shared" si="15"/>
        <v>967</v>
      </c>
      <c r="C161" s="9">
        <f aca="true" t="shared" si="20" ref="C161:M161">+C206-C146-C131-C116</f>
        <v>747</v>
      </c>
      <c r="D161" s="9">
        <f t="shared" si="20"/>
        <v>844</v>
      </c>
      <c r="E161" s="9">
        <f t="shared" si="20"/>
        <v>745</v>
      </c>
      <c r="F161" s="9">
        <f t="shared" si="20"/>
        <v>680</v>
      </c>
      <c r="G161" s="9">
        <f t="shared" si="20"/>
        <v>758</v>
      </c>
      <c r="H161" s="9">
        <f t="shared" si="20"/>
        <v>479</v>
      </c>
      <c r="I161" s="9">
        <f t="shared" si="20"/>
        <v>986</v>
      </c>
      <c r="J161" s="9">
        <f t="shared" si="20"/>
        <v>499</v>
      </c>
      <c r="K161" s="9">
        <f t="shared" si="20"/>
        <v>617</v>
      </c>
      <c r="L161" s="9">
        <f t="shared" si="20"/>
        <v>661</v>
      </c>
      <c r="M161" s="9">
        <f t="shared" si="20"/>
        <v>688</v>
      </c>
      <c r="N161" s="13">
        <v>722.5833333333334</v>
      </c>
    </row>
    <row r="162" spans="1:14" ht="12.75" hidden="1">
      <c r="A162" t="s">
        <v>69</v>
      </c>
      <c r="B162" s="9">
        <f t="shared" si="15"/>
        <v>672</v>
      </c>
      <c r="C162" s="9">
        <f aca="true" t="shared" si="21" ref="C162:M162">+C207-C147-C132-C117</f>
        <v>825</v>
      </c>
      <c r="D162" s="9">
        <f t="shared" si="21"/>
        <v>820</v>
      </c>
      <c r="E162" s="9">
        <f t="shared" si="21"/>
        <v>656</v>
      </c>
      <c r="F162" s="9">
        <f t="shared" si="21"/>
        <v>849</v>
      </c>
      <c r="G162" s="9">
        <f t="shared" si="21"/>
        <v>599</v>
      </c>
      <c r="H162" s="9">
        <f t="shared" si="21"/>
        <v>1008</v>
      </c>
      <c r="I162" s="9">
        <f t="shared" si="21"/>
        <v>1009</v>
      </c>
      <c r="J162" s="9">
        <f t="shared" si="21"/>
        <v>915</v>
      </c>
      <c r="K162" s="9">
        <f t="shared" si="21"/>
        <v>924</v>
      </c>
      <c r="L162" s="9">
        <f t="shared" si="21"/>
        <v>785</v>
      </c>
      <c r="M162" s="9">
        <f t="shared" si="21"/>
        <v>956</v>
      </c>
      <c r="N162" s="13">
        <v>834.8333333333334</v>
      </c>
    </row>
    <row r="163" spans="1:14" ht="12.75" hidden="1">
      <c r="A163" t="s">
        <v>46</v>
      </c>
      <c r="B163" s="8">
        <f t="shared" si="15"/>
        <v>461</v>
      </c>
      <c r="C163" s="8">
        <f aca="true" t="shared" si="22" ref="C163:M163">+C208-C148-C133-C118</f>
        <v>448</v>
      </c>
      <c r="D163" s="8">
        <f t="shared" si="22"/>
        <v>438</v>
      </c>
      <c r="E163" s="8">
        <f t="shared" si="22"/>
        <v>706</v>
      </c>
      <c r="F163" s="8">
        <f t="shared" si="22"/>
        <v>580</v>
      </c>
      <c r="G163" s="8">
        <f t="shared" si="22"/>
        <v>708</v>
      </c>
      <c r="H163" s="8">
        <f t="shared" si="22"/>
        <v>615</v>
      </c>
      <c r="I163" s="8">
        <f t="shared" si="22"/>
        <v>1070</v>
      </c>
      <c r="J163" s="8">
        <f t="shared" si="22"/>
        <v>696</v>
      </c>
      <c r="K163" s="8">
        <f t="shared" si="22"/>
        <v>580</v>
      </c>
      <c r="L163" s="8">
        <f t="shared" si="22"/>
        <v>814</v>
      </c>
      <c r="M163" s="8">
        <f t="shared" si="22"/>
        <v>754</v>
      </c>
      <c r="N163" s="13">
        <v>655.8333333333334</v>
      </c>
    </row>
    <row r="164" spans="1:14" ht="12.75" hidden="1">
      <c r="A164" t="s">
        <v>47</v>
      </c>
      <c r="B164" s="8">
        <f t="shared" si="15"/>
        <v>381</v>
      </c>
      <c r="C164" s="8">
        <f aca="true" t="shared" si="23" ref="C164:M164">+C209-C149-C134-C119</f>
        <v>465</v>
      </c>
      <c r="D164" s="8">
        <f t="shared" si="23"/>
        <v>396</v>
      </c>
      <c r="E164" s="8">
        <f t="shared" si="23"/>
        <v>359</v>
      </c>
      <c r="F164" s="8">
        <f t="shared" si="23"/>
        <v>316</v>
      </c>
      <c r="G164" s="8">
        <f t="shared" si="23"/>
        <v>414</v>
      </c>
      <c r="H164" s="8">
        <f t="shared" si="23"/>
        <v>420</v>
      </c>
      <c r="I164" s="8">
        <f t="shared" si="23"/>
        <v>396</v>
      </c>
      <c r="J164" s="8">
        <f t="shared" si="23"/>
        <v>382</v>
      </c>
      <c r="K164" s="8">
        <f t="shared" si="23"/>
        <v>403</v>
      </c>
      <c r="L164" s="8">
        <f t="shared" si="23"/>
        <v>395</v>
      </c>
      <c r="M164" s="8">
        <f t="shared" si="23"/>
        <v>448</v>
      </c>
      <c r="N164" s="13">
        <v>397.9166666666667</v>
      </c>
    </row>
    <row r="165" spans="1:13" ht="12.75" hidden="1">
      <c r="A165" t="s">
        <v>48</v>
      </c>
      <c r="B165" s="8">
        <f t="shared" si="15"/>
        <v>304.0813700000002</v>
      </c>
      <c r="C165" s="8">
        <f aca="true" t="shared" si="24" ref="C165:M165">+C210-C150-C135-C120</f>
        <v>375.74329999999964</v>
      </c>
      <c r="D165" s="8">
        <f t="shared" si="24"/>
        <v>411.9243100000001</v>
      </c>
      <c r="E165" s="8">
        <f t="shared" si="24"/>
        <v>434.24531</v>
      </c>
      <c r="F165" s="8">
        <f t="shared" si="24"/>
        <v>430.92827999999986</v>
      </c>
      <c r="G165" s="8">
        <f t="shared" si="24"/>
        <v>438.93503999999984</v>
      </c>
      <c r="H165" s="8">
        <f t="shared" si="24"/>
        <v>345.7261299999999</v>
      </c>
      <c r="I165" s="8">
        <f t="shared" si="24"/>
        <v>424.0055500000001</v>
      </c>
      <c r="J165" s="8">
        <f t="shared" si="24"/>
        <v>439.7028</v>
      </c>
      <c r="K165" s="8">
        <f t="shared" si="24"/>
        <v>451.6474800000001</v>
      </c>
      <c r="L165" s="8">
        <f t="shared" si="24"/>
        <v>385.1630000000001</v>
      </c>
      <c r="M165" s="8">
        <f t="shared" si="24"/>
        <v>442.7622299999997</v>
      </c>
    </row>
    <row r="166" spans="2:14" ht="12.75">
      <c r="B166" s="7" t="s">
        <v>77</v>
      </c>
      <c r="C166" s="7" t="s">
        <v>78</v>
      </c>
      <c r="D166" s="7" t="s">
        <v>79</v>
      </c>
      <c r="E166" s="7" t="s">
        <v>80</v>
      </c>
      <c r="F166" s="7" t="s">
        <v>81</v>
      </c>
      <c r="G166" s="7" t="s">
        <v>82</v>
      </c>
      <c r="H166" s="7" t="s">
        <v>83</v>
      </c>
      <c r="I166" s="7" t="s">
        <v>84</v>
      </c>
      <c r="J166" s="7" t="s">
        <v>85</v>
      </c>
      <c r="K166" s="7" t="s">
        <v>86</v>
      </c>
      <c r="L166" s="7" t="s">
        <v>87</v>
      </c>
      <c r="M166" s="7" t="s">
        <v>88</v>
      </c>
      <c r="N166" s="6" t="s">
        <v>119</v>
      </c>
    </row>
    <row r="167" spans="1:14" ht="12.75">
      <c r="A167" s="15" t="s">
        <v>300</v>
      </c>
      <c r="B167" s="16">
        <v>206</v>
      </c>
      <c r="C167" s="16">
        <v>-467</v>
      </c>
      <c r="D167" s="16">
        <v>352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3">
        <f>SUM(B167:M167)/Q$1</f>
        <v>30.333333333333332</v>
      </c>
    </row>
    <row r="168" spans="1:14" ht="12.75">
      <c r="A168" s="15" t="s">
        <v>301</v>
      </c>
      <c r="B168" s="16">
        <v>795</v>
      </c>
      <c r="C168" s="16">
        <v>468</v>
      </c>
      <c r="D168" s="16">
        <v>-815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3">
        <f>SUM(B168:M168)/Q$1</f>
        <v>149.33333333333334</v>
      </c>
    </row>
    <row r="169" spans="1:14" ht="12.75">
      <c r="A169" s="15" t="s">
        <v>273</v>
      </c>
      <c r="B169" s="16">
        <v>241</v>
      </c>
      <c r="C169" s="16">
        <v>111</v>
      </c>
      <c r="D169" s="16">
        <v>-967</v>
      </c>
      <c r="E169" s="16">
        <v>-3090</v>
      </c>
      <c r="F169" s="16">
        <v>-282</v>
      </c>
      <c r="G169" s="16">
        <v>163</v>
      </c>
      <c r="H169" s="16">
        <v>183</v>
      </c>
      <c r="I169" s="16">
        <v>2733</v>
      </c>
      <c r="J169" s="16">
        <v>1264</v>
      </c>
      <c r="K169" s="16">
        <v>636</v>
      </c>
      <c r="L169" s="16">
        <v>33</v>
      </c>
      <c r="M169" s="16">
        <v>490</v>
      </c>
      <c r="N169" s="13">
        <f aca="true" t="shared" si="25" ref="N169:N174">SUM(B169:M169)/12</f>
        <v>126.25</v>
      </c>
    </row>
    <row r="170" spans="1:14" ht="12.75">
      <c r="A170" s="15" t="s">
        <v>274</v>
      </c>
      <c r="B170" s="16">
        <v>162</v>
      </c>
      <c r="C170" s="16">
        <v>97</v>
      </c>
      <c r="D170" s="16">
        <v>281</v>
      </c>
      <c r="E170" s="16">
        <v>283</v>
      </c>
      <c r="F170" s="16">
        <v>91</v>
      </c>
      <c r="G170" s="16">
        <v>91</v>
      </c>
      <c r="H170" s="16">
        <v>259</v>
      </c>
      <c r="I170" s="16">
        <v>65</v>
      </c>
      <c r="J170" s="16">
        <v>104</v>
      </c>
      <c r="K170" s="16">
        <v>63</v>
      </c>
      <c r="L170" s="16">
        <v>17</v>
      </c>
      <c r="M170" s="16">
        <v>13</v>
      </c>
      <c r="N170" s="13">
        <f t="shared" si="25"/>
        <v>127.16666666666667</v>
      </c>
    </row>
    <row r="171" spans="1:14" ht="12.75">
      <c r="A171" s="15" t="s">
        <v>275</v>
      </c>
      <c r="B171" s="16">
        <v>1579</v>
      </c>
      <c r="C171" s="16">
        <v>971</v>
      </c>
      <c r="D171" s="16">
        <v>473</v>
      </c>
      <c r="E171" s="16">
        <v>191</v>
      </c>
      <c r="F171" s="16">
        <v>96</v>
      </c>
      <c r="G171" s="16">
        <v>448</v>
      </c>
      <c r="H171" s="16">
        <v>-867</v>
      </c>
      <c r="I171" s="16">
        <v>81</v>
      </c>
      <c r="J171" s="16">
        <v>40</v>
      </c>
      <c r="K171" s="16">
        <v>-755</v>
      </c>
      <c r="L171" s="16">
        <v>-1068</v>
      </c>
      <c r="M171" s="16">
        <v>-554</v>
      </c>
      <c r="N171" s="13">
        <f t="shared" si="25"/>
        <v>52.916666666666664</v>
      </c>
    </row>
    <row r="172" spans="1:14" ht="12.75">
      <c r="A172" s="15" t="s">
        <v>276</v>
      </c>
      <c r="B172" s="16">
        <v>177</v>
      </c>
      <c r="C172" s="16">
        <v>285</v>
      </c>
      <c r="D172" s="16">
        <v>254</v>
      </c>
      <c r="E172" s="16">
        <v>-823</v>
      </c>
      <c r="F172" s="16">
        <v>82</v>
      </c>
      <c r="G172" s="16">
        <v>178</v>
      </c>
      <c r="H172" s="16">
        <v>-974</v>
      </c>
      <c r="I172" s="16">
        <v>-1420</v>
      </c>
      <c r="J172" s="16">
        <v>-579</v>
      </c>
      <c r="K172" s="16">
        <v>258</v>
      </c>
      <c r="L172" s="16">
        <v>-535</v>
      </c>
      <c r="M172" s="16">
        <v>213</v>
      </c>
      <c r="N172" s="13">
        <f t="shared" si="25"/>
        <v>-240.33333333333334</v>
      </c>
    </row>
    <row r="173" spans="1:14" ht="12.75" hidden="1">
      <c r="A173" s="15" t="s">
        <v>277</v>
      </c>
      <c r="B173" s="16">
        <v>318</v>
      </c>
      <c r="C173" s="16">
        <v>150</v>
      </c>
      <c r="D173" s="16">
        <v>130</v>
      </c>
      <c r="E173" s="16">
        <v>561</v>
      </c>
      <c r="F173" s="16">
        <v>293</v>
      </c>
      <c r="G173" s="16">
        <v>75</v>
      </c>
      <c r="H173" s="16">
        <v>253</v>
      </c>
      <c r="I173" s="16">
        <v>162</v>
      </c>
      <c r="J173" s="16">
        <v>958</v>
      </c>
      <c r="K173" s="16">
        <v>157</v>
      </c>
      <c r="L173" s="16">
        <v>106</v>
      </c>
      <c r="M173" s="16">
        <v>952</v>
      </c>
      <c r="N173" s="13">
        <f t="shared" si="25"/>
        <v>342.9166666666667</v>
      </c>
    </row>
    <row r="174" spans="1:14" ht="12.75" hidden="1">
      <c r="A174" t="s">
        <v>154</v>
      </c>
      <c r="B174" s="8">
        <v>205</v>
      </c>
      <c r="C174" s="8">
        <v>291</v>
      </c>
      <c r="D174" s="8">
        <v>247</v>
      </c>
      <c r="E174" s="8">
        <v>133</v>
      </c>
      <c r="F174" s="8">
        <v>320</v>
      </c>
      <c r="G174" s="8">
        <v>237</v>
      </c>
      <c r="H174" s="8">
        <v>26</v>
      </c>
      <c r="I174" s="8">
        <v>233</v>
      </c>
      <c r="J174" s="8">
        <v>38</v>
      </c>
      <c r="K174" s="8">
        <v>-77</v>
      </c>
      <c r="L174" s="8">
        <v>-130</v>
      </c>
      <c r="M174" s="8">
        <v>226</v>
      </c>
      <c r="N174" s="13">
        <f t="shared" si="25"/>
        <v>145.75</v>
      </c>
    </row>
    <row r="175" spans="1:14" ht="12.75" hidden="1">
      <c r="A175" t="s">
        <v>132</v>
      </c>
      <c r="B175" s="8">
        <v>-156</v>
      </c>
      <c r="C175" s="8">
        <v>39</v>
      </c>
      <c r="D175" s="8">
        <v>-23</v>
      </c>
      <c r="E175" s="8">
        <v>81</v>
      </c>
      <c r="F175" s="8">
        <v>236</v>
      </c>
      <c r="G175" s="8">
        <v>-291</v>
      </c>
      <c r="H175" s="8">
        <v>-79</v>
      </c>
      <c r="I175" s="8">
        <v>186</v>
      </c>
      <c r="J175" s="8">
        <v>173</v>
      </c>
      <c r="K175" s="8">
        <v>49</v>
      </c>
      <c r="L175" s="8">
        <v>232</v>
      </c>
      <c r="M175" s="8">
        <v>4362</v>
      </c>
      <c r="N175" s="13">
        <v>400.75</v>
      </c>
    </row>
    <row r="176" spans="1:14" ht="12.75" hidden="1">
      <c r="A176" t="s">
        <v>108</v>
      </c>
      <c r="B176" s="8">
        <v>-1</v>
      </c>
      <c r="C176" s="8">
        <v>434</v>
      </c>
      <c r="D176" s="8">
        <v>44</v>
      </c>
      <c r="E176" s="8">
        <v>24</v>
      </c>
      <c r="F176" s="8">
        <v>-244</v>
      </c>
      <c r="G176" s="8">
        <v>308</v>
      </c>
      <c r="H176" s="8">
        <v>-215</v>
      </c>
      <c r="I176" s="8">
        <v>-245</v>
      </c>
      <c r="J176" s="8">
        <v>-246</v>
      </c>
      <c r="K176" s="8">
        <v>-211</v>
      </c>
      <c r="L176" s="8">
        <v>-570</v>
      </c>
      <c r="M176" s="8">
        <v>3388</v>
      </c>
      <c r="N176" s="13">
        <v>205.5</v>
      </c>
    </row>
    <row r="177" spans="1:14" ht="12.75" hidden="1">
      <c r="A177" t="s">
        <v>68</v>
      </c>
      <c r="B177" s="9">
        <v>261</v>
      </c>
      <c r="C177" s="9">
        <v>6</v>
      </c>
      <c r="D177" s="9">
        <v>104</v>
      </c>
      <c r="E177" s="9">
        <v>145</v>
      </c>
      <c r="F177" s="9">
        <v>26</v>
      </c>
      <c r="G177" s="9">
        <v>-6</v>
      </c>
      <c r="H177" s="9">
        <v>-188</v>
      </c>
      <c r="I177" s="9">
        <v>-55</v>
      </c>
      <c r="J177" s="9">
        <v>52</v>
      </c>
      <c r="K177" s="9">
        <v>-27</v>
      </c>
      <c r="L177" s="9">
        <v>-132</v>
      </c>
      <c r="M177" s="9">
        <v>-497</v>
      </c>
      <c r="N177" s="13">
        <v>-25.916666666666668</v>
      </c>
    </row>
    <row r="178" spans="1:14" ht="12.75" hidden="1">
      <c r="A178" t="s">
        <v>49</v>
      </c>
      <c r="B178" s="8">
        <v>234</v>
      </c>
      <c r="C178" s="8">
        <v>117</v>
      </c>
      <c r="D178" s="8">
        <v>-91</v>
      </c>
      <c r="E178" s="8">
        <v>-179</v>
      </c>
      <c r="F178" s="8">
        <v>5</v>
      </c>
      <c r="G178" s="8">
        <v>50</v>
      </c>
      <c r="H178" s="8">
        <v>-69</v>
      </c>
      <c r="I178" s="8">
        <v>-1806</v>
      </c>
      <c r="J178" s="8">
        <v>276</v>
      </c>
      <c r="K178" s="8">
        <v>205</v>
      </c>
      <c r="L178" s="8">
        <v>-336</v>
      </c>
      <c r="M178" s="8">
        <v>30</v>
      </c>
      <c r="N178" s="13">
        <v>-130.33333333333334</v>
      </c>
    </row>
    <row r="179" spans="1:14" ht="12.75" hidden="1">
      <c r="A179" t="s">
        <v>18</v>
      </c>
      <c r="B179" s="8">
        <v>-100</v>
      </c>
      <c r="C179" s="8">
        <v>-150</v>
      </c>
      <c r="D179" s="8">
        <v>1</v>
      </c>
      <c r="E179" s="8">
        <v>-47</v>
      </c>
      <c r="F179" s="8">
        <v>110</v>
      </c>
      <c r="G179" s="8">
        <v>150</v>
      </c>
      <c r="H179" s="8">
        <v>-98</v>
      </c>
      <c r="I179" s="8">
        <v>175</v>
      </c>
      <c r="J179" s="8">
        <v>60</v>
      </c>
      <c r="K179" s="8">
        <v>69</v>
      </c>
      <c r="L179" s="8">
        <v>197</v>
      </c>
      <c r="M179" s="8">
        <v>-12</v>
      </c>
      <c r="N179" s="13">
        <v>29.583333333333332</v>
      </c>
    </row>
    <row r="180" spans="1:13" ht="12.75" hidden="1">
      <c r="A180" t="s">
        <v>17</v>
      </c>
      <c r="B180" s="8">
        <v>210.3904</v>
      </c>
      <c r="C180" s="8">
        <v>-31.052530000000157</v>
      </c>
      <c r="D180" s="8">
        <v>-96.87822</v>
      </c>
      <c r="E180" s="8">
        <v>3.3845000000001164</v>
      </c>
      <c r="F180" s="8">
        <v>8.985949999999866</v>
      </c>
      <c r="G180" s="8">
        <v>200.00033</v>
      </c>
      <c r="H180" s="8">
        <v>-29.809340000000272</v>
      </c>
      <c r="I180" s="8">
        <v>-91.63467999999999</v>
      </c>
      <c r="J180" s="8">
        <v>-90.4411299999997</v>
      </c>
      <c r="K180" s="8">
        <v>-210.02761999999998</v>
      </c>
      <c r="L180" s="8">
        <v>-128.38594</v>
      </c>
      <c r="M180" s="8">
        <v>-21.390090000000107</v>
      </c>
    </row>
    <row r="181" spans="2:14" ht="12.75">
      <c r="B181" s="7" t="s">
        <v>77</v>
      </c>
      <c r="C181" s="7" t="s">
        <v>78</v>
      </c>
      <c r="D181" s="7" t="s">
        <v>79</v>
      </c>
      <c r="E181" s="7" t="s">
        <v>80</v>
      </c>
      <c r="F181" s="7" t="s">
        <v>81</v>
      </c>
      <c r="G181" s="7" t="s">
        <v>82</v>
      </c>
      <c r="H181" s="7" t="s">
        <v>83</v>
      </c>
      <c r="I181" s="7" t="s">
        <v>84</v>
      </c>
      <c r="J181" s="7" t="s">
        <v>85</v>
      </c>
      <c r="K181" s="7" t="s">
        <v>86</v>
      </c>
      <c r="L181" s="7" t="s">
        <v>87</v>
      </c>
      <c r="M181" s="7" t="s">
        <v>88</v>
      </c>
      <c r="N181" s="6" t="s">
        <v>119</v>
      </c>
    </row>
    <row r="182" spans="1:14" ht="12.75">
      <c r="A182" s="15" t="s">
        <v>303</v>
      </c>
      <c r="B182" s="16">
        <v>287.44</v>
      </c>
      <c r="C182" s="16">
        <v>298.21</v>
      </c>
      <c r="D182" s="16">
        <v>297.66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3">
        <f>SUM(B182:M182)/Q$1</f>
        <v>294.43666666666667</v>
      </c>
    </row>
    <row r="183" spans="1:14" ht="12.75">
      <c r="A183" s="15" t="s">
        <v>304</v>
      </c>
      <c r="B183" s="16">
        <v>278.56</v>
      </c>
      <c r="C183" s="16">
        <v>260.08</v>
      </c>
      <c r="D183" s="16">
        <v>270.84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3">
        <f>SUM(B183:M183)/Q$1</f>
        <v>269.82666666666665</v>
      </c>
    </row>
    <row r="184" spans="1:14" ht="12.75">
      <c r="A184" s="15" t="s">
        <v>258</v>
      </c>
      <c r="B184" s="16">
        <v>286.4</v>
      </c>
      <c r="C184" s="16">
        <v>267.89</v>
      </c>
      <c r="D184" s="16">
        <v>279</v>
      </c>
      <c r="E184" s="16">
        <v>302.72</v>
      </c>
      <c r="F184" s="16">
        <v>273.25</v>
      </c>
      <c r="G184" s="16">
        <v>272</v>
      </c>
      <c r="H184" s="16">
        <v>276.27</v>
      </c>
      <c r="I184" s="16">
        <v>288.16</v>
      </c>
      <c r="J184" s="16">
        <v>277.07</v>
      </c>
      <c r="K184" s="16">
        <v>298.77</v>
      </c>
      <c r="L184" s="16">
        <v>315.96</v>
      </c>
      <c r="M184" s="16">
        <v>296.38</v>
      </c>
      <c r="N184" s="13">
        <f aca="true" t="shared" si="26" ref="N184:N189">SUM(B184:M184)/12</f>
        <v>286.15583333333336</v>
      </c>
    </row>
    <row r="185" spans="1:14" ht="12.75">
      <c r="A185" s="15" t="s">
        <v>302</v>
      </c>
      <c r="B185" s="16">
        <v>249.38</v>
      </c>
      <c r="C185" s="16">
        <v>245.13</v>
      </c>
      <c r="D185" s="16">
        <v>283.45</v>
      </c>
      <c r="E185" s="16">
        <v>262.65</v>
      </c>
      <c r="F185" s="16">
        <v>262.3</v>
      </c>
      <c r="G185" s="16">
        <v>266.76</v>
      </c>
      <c r="H185" s="16">
        <v>265.24</v>
      </c>
      <c r="I185" s="16">
        <v>271.53</v>
      </c>
      <c r="J185" s="16">
        <v>273</v>
      </c>
      <c r="K185" s="16">
        <v>278.54</v>
      </c>
      <c r="L185" s="16">
        <v>309.76</v>
      </c>
      <c r="M185" s="16">
        <v>275.74</v>
      </c>
      <c r="N185" s="13">
        <f t="shared" si="26"/>
        <v>270.28999999999996</v>
      </c>
    </row>
    <row r="186" spans="1:14" ht="12.75">
      <c r="A186" s="15" t="s">
        <v>221</v>
      </c>
      <c r="B186" s="16">
        <v>222.53</v>
      </c>
      <c r="C186" s="16">
        <v>264</v>
      </c>
      <c r="D186" s="16">
        <v>240.79</v>
      </c>
      <c r="E186" s="16">
        <v>253</v>
      </c>
      <c r="F186" s="16">
        <v>250.72</v>
      </c>
      <c r="G186" s="16">
        <v>258.68</v>
      </c>
      <c r="H186" s="16">
        <v>262.46</v>
      </c>
      <c r="I186" s="16">
        <v>223.76</v>
      </c>
      <c r="J186" s="16">
        <v>268</v>
      </c>
      <c r="K186" s="16">
        <v>259.74</v>
      </c>
      <c r="L186" s="16">
        <v>272.52</v>
      </c>
      <c r="M186" s="16">
        <v>260.77</v>
      </c>
      <c r="N186" s="13">
        <f t="shared" si="26"/>
        <v>253.08083333333335</v>
      </c>
    </row>
    <row r="187" spans="1:14" ht="12.75">
      <c r="A187" s="15" t="s">
        <v>199</v>
      </c>
      <c r="B187" s="16">
        <v>227.48</v>
      </c>
      <c r="C187" s="16">
        <v>232.4</v>
      </c>
      <c r="D187" s="16">
        <v>230</v>
      </c>
      <c r="E187" s="16">
        <v>247.55</v>
      </c>
      <c r="F187" s="16">
        <v>268.31</v>
      </c>
      <c r="G187" s="16">
        <v>253.64</v>
      </c>
      <c r="H187" s="16">
        <v>264.44</v>
      </c>
      <c r="I187" s="16">
        <v>253.32</v>
      </c>
      <c r="J187" s="16">
        <v>261</v>
      </c>
      <c r="K187" s="16">
        <v>229.62</v>
      </c>
      <c r="L187" s="16">
        <v>264.61</v>
      </c>
      <c r="M187" s="16">
        <v>253.08</v>
      </c>
      <c r="N187" s="13">
        <f t="shared" si="26"/>
        <v>248.78750000000002</v>
      </c>
    </row>
    <row r="188" spans="1:14" ht="12.75" hidden="1">
      <c r="A188" s="15" t="s">
        <v>183</v>
      </c>
      <c r="B188" s="16">
        <v>216.23</v>
      </c>
      <c r="C188" s="16">
        <v>219.22</v>
      </c>
      <c r="D188" s="16">
        <v>210</v>
      </c>
      <c r="E188" s="16">
        <v>221.95</v>
      </c>
      <c r="F188" s="16">
        <v>217.65</v>
      </c>
      <c r="G188" s="16">
        <f>36564/171</f>
        <v>213.82456140350877</v>
      </c>
      <c r="H188" s="16">
        <v>209.7</v>
      </c>
      <c r="I188" s="16">
        <v>227</v>
      </c>
      <c r="J188" s="16">
        <v>246.38</v>
      </c>
      <c r="K188" s="16">
        <v>230</v>
      </c>
      <c r="L188" s="16">
        <v>230</v>
      </c>
      <c r="M188" s="16">
        <v>230</v>
      </c>
      <c r="N188" s="13">
        <f t="shared" si="26"/>
        <v>222.6628801169591</v>
      </c>
    </row>
    <row r="189" spans="1:14" ht="12.75" hidden="1">
      <c r="A189" t="s">
        <v>155</v>
      </c>
      <c r="B189" s="8">
        <v>188.83</v>
      </c>
      <c r="C189" s="8">
        <v>187</v>
      </c>
      <c r="D189" s="8">
        <v>186.55</v>
      </c>
      <c r="E189" s="8">
        <v>183.88</v>
      </c>
      <c r="F189" s="8">
        <v>179</v>
      </c>
      <c r="G189" s="8">
        <v>176</v>
      </c>
      <c r="H189" s="8">
        <v>174.43</v>
      </c>
      <c r="I189" s="8">
        <v>181.63</v>
      </c>
      <c r="J189" s="8">
        <v>179</v>
      </c>
      <c r="K189" s="8">
        <v>182</v>
      </c>
      <c r="L189" s="8">
        <v>183.43</v>
      </c>
      <c r="M189" s="8">
        <v>181.14</v>
      </c>
      <c r="N189" s="13">
        <f t="shared" si="26"/>
        <v>181.90750000000003</v>
      </c>
    </row>
    <row r="190" spans="1:14" ht="12.75" hidden="1">
      <c r="A190" t="s">
        <v>133</v>
      </c>
      <c r="B190" s="8">
        <v>201.93</v>
      </c>
      <c r="C190" s="8">
        <v>203.75</v>
      </c>
      <c r="D190" s="8">
        <v>206.28</v>
      </c>
      <c r="E190" s="8">
        <v>196.3</v>
      </c>
      <c r="F190" s="8">
        <v>195.68</v>
      </c>
      <c r="G190" s="8">
        <v>194.31</v>
      </c>
      <c r="H190" s="8">
        <v>182</v>
      </c>
      <c r="I190" s="8">
        <v>185.66</v>
      </c>
      <c r="J190" s="8">
        <v>187.13</v>
      </c>
      <c r="K190" s="8">
        <v>192.55</v>
      </c>
      <c r="L190" s="8">
        <v>190.42</v>
      </c>
      <c r="M190" s="8">
        <v>197</v>
      </c>
      <c r="N190" s="13">
        <v>194.4175</v>
      </c>
    </row>
    <row r="191" spans="1:14" ht="12.75" hidden="1">
      <c r="A191" t="s">
        <v>109</v>
      </c>
      <c r="B191" s="8">
        <v>214</v>
      </c>
      <c r="C191" s="8">
        <v>227</v>
      </c>
      <c r="D191" s="8">
        <v>232.58</v>
      </c>
      <c r="E191" s="8">
        <v>225</v>
      </c>
      <c r="F191" s="8">
        <v>226.1</v>
      </c>
      <c r="G191" s="8">
        <v>229.22</v>
      </c>
      <c r="H191" s="8">
        <v>229.93</v>
      </c>
      <c r="I191" s="8">
        <v>228.52</v>
      </c>
      <c r="J191" s="8">
        <v>218.28</v>
      </c>
      <c r="K191" s="8">
        <v>216.4</v>
      </c>
      <c r="L191" s="8">
        <v>215</v>
      </c>
      <c r="M191" s="8">
        <v>210</v>
      </c>
      <c r="N191" s="13">
        <v>222.66916666666668</v>
      </c>
    </row>
    <row r="192" spans="1:14" ht="12.75" hidden="1">
      <c r="A192" t="s">
        <v>67</v>
      </c>
      <c r="B192" s="9">
        <v>221.625</v>
      </c>
      <c r="C192" s="9">
        <v>224.15368749999996</v>
      </c>
      <c r="D192" s="9">
        <v>224.58868845500845</v>
      </c>
      <c r="E192" s="9">
        <v>227.52309941520465</v>
      </c>
      <c r="F192" s="9">
        <v>217.49741086587431</v>
      </c>
      <c r="G192" s="9">
        <v>224.38970760233917</v>
      </c>
      <c r="H192" s="9">
        <v>229</v>
      </c>
      <c r="I192" s="9">
        <v>237.63</v>
      </c>
      <c r="J192" s="9">
        <v>227.77</v>
      </c>
      <c r="K192" s="9">
        <v>233</v>
      </c>
      <c r="L192" s="9">
        <v>228</v>
      </c>
      <c r="M192" s="9">
        <v>223</v>
      </c>
      <c r="N192" s="13">
        <v>226.51479948653557</v>
      </c>
    </row>
    <row r="193" spans="1:14" ht="12.75" hidden="1">
      <c r="A193" t="s">
        <v>50</v>
      </c>
      <c r="B193" s="8">
        <v>192</v>
      </c>
      <c r="C193" s="8">
        <v>200.5</v>
      </c>
      <c r="D193" s="8">
        <v>202.56</v>
      </c>
      <c r="E193" s="8">
        <v>206.52</v>
      </c>
      <c r="F193" s="8">
        <v>204.87</v>
      </c>
      <c r="G193" s="8">
        <v>206.54</v>
      </c>
      <c r="H193" s="8">
        <v>216</v>
      </c>
      <c r="I193" s="8">
        <v>218.21</v>
      </c>
      <c r="J193" s="8">
        <v>224.58</v>
      </c>
      <c r="K193" s="8">
        <v>219.66</v>
      </c>
      <c r="L193" s="8">
        <v>217.73</v>
      </c>
      <c r="M193" s="8">
        <v>213.72</v>
      </c>
      <c r="N193" s="13">
        <v>210.2408333333333</v>
      </c>
    </row>
    <row r="194" spans="1:14" ht="12.75" hidden="1">
      <c r="A194" t="s">
        <v>16</v>
      </c>
      <c r="B194" s="8">
        <v>183</v>
      </c>
      <c r="C194" s="8">
        <v>181</v>
      </c>
      <c r="D194" s="8">
        <v>184</v>
      </c>
      <c r="E194" s="8">
        <v>185.23</v>
      </c>
      <c r="F194" s="8">
        <v>180</v>
      </c>
      <c r="G194" s="8">
        <v>184</v>
      </c>
      <c r="H194" s="8">
        <v>190.62</v>
      </c>
      <c r="I194" s="8">
        <v>192.43</v>
      </c>
      <c r="J194" s="8">
        <v>187.89</v>
      </c>
      <c r="K194" s="8">
        <v>193</v>
      </c>
      <c r="L194" s="8">
        <v>194.57</v>
      </c>
      <c r="M194" s="8">
        <v>196.38</v>
      </c>
      <c r="N194" s="13">
        <v>187.6766666666667</v>
      </c>
    </row>
    <row r="195" spans="1:13" ht="12.75" hidden="1">
      <c r="A195" t="s">
        <v>15</v>
      </c>
      <c r="B195" s="8">
        <v>185.6195625</v>
      </c>
      <c r="C195" s="8">
        <v>190.9244375</v>
      </c>
      <c r="D195" s="8">
        <v>185.3132916666667</v>
      </c>
      <c r="E195" s="8">
        <v>185.18387499999997</v>
      </c>
      <c r="F195" s="8">
        <v>181.02025000000003</v>
      </c>
      <c r="G195" s="8">
        <v>182.99</v>
      </c>
      <c r="H195" s="8">
        <v>182.0458125</v>
      </c>
      <c r="I195" s="8">
        <v>185.0691875</v>
      </c>
      <c r="J195" s="8">
        <v>182.847</v>
      </c>
      <c r="K195" s="8">
        <v>185.586625</v>
      </c>
      <c r="L195" s="8">
        <v>185.6224375</v>
      </c>
      <c r="M195" s="8">
        <v>185.124375</v>
      </c>
    </row>
    <row r="197" spans="1:13" ht="12.75">
      <c r="A197" s="15" t="s">
        <v>305</v>
      </c>
      <c r="B197" s="16">
        <v>3880</v>
      </c>
      <c r="C197" s="16">
        <v>3818</v>
      </c>
      <c r="D197" s="16">
        <v>4432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</row>
    <row r="198" spans="1:13" ht="12.75">
      <c r="A198" s="15" t="s">
        <v>306</v>
      </c>
      <c r="B198" s="16">
        <v>3157</v>
      </c>
      <c r="C198" s="16">
        <v>3606</v>
      </c>
      <c r="D198" s="16">
        <v>3759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</row>
    <row r="199" spans="1:13" ht="12.75">
      <c r="A199" s="15" t="s">
        <v>259</v>
      </c>
      <c r="B199" s="16">
        <v>3012</v>
      </c>
      <c r="C199" s="16">
        <v>3457</v>
      </c>
      <c r="D199" s="16">
        <v>3616</v>
      </c>
      <c r="E199" s="16">
        <v>3532</v>
      </c>
      <c r="F199" s="16">
        <v>3216</v>
      </c>
      <c r="G199" s="16">
        <v>3581</v>
      </c>
      <c r="H199" s="16">
        <v>3772</v>
      </c>
      <c r="I199" s="16">
        <v>3632</v>
      </c>
      <c r="J199" s="16">
        <v>3806</v>
      </c>
      <c r="K199" s="16">
        <v>3943</v>
      </c>
      <c r="L199" s="16">
        <v>3841</v>
      </c>
      <c r="M199" s="16">
        <v>4057</v>
      </c>
    </row>
    <row r="200" spans="1:13" ht="12.75">
      <c r="A200" s="15" t="s">
        <v>240</v>
      </c>
      <c r="B200" s="16">
        <v>3044</v>
      </c>
      <c r="C200" s="16">
        <v>2931</v>
      </c>
      <c r="D200" s="16">
        <v>2785</v>
      </c>
      <c r="E200" s="16">
        <v>3068</v>
      </c>
      <c r="F200" s="16">
        <v>3238</v>
      </c>
      <c r="G200" s="16">
        <v>2281</v>
      </c>
      <c r="H200" s="16">
        <v>3244</v>
      </c>
      <c r="I200" s="16">
        <v>3606</v>
      </c>
      <c r="J200" s="16">
        <v>3624</v>
      </c>
      <c r="K200" s="16">
        <v>3723</v>
      </c>
      <c r="L200" s="16">
        <v>3846</v>
      </c>
      <c r="M200" s="16">
        <v>518</v>
      </c>
    </row>
    <row r="201" spans="1:13" ht="12.75">
      <c r="A201" s="15" t="s">
        <v>222</v>
      </c>
      <c r="B201" s="16">
        <v>4037</v>
      </c>
      <c r="C201" s="16">
        <v>3146</v>
      </c>
      <c r="D201" s="16">
        <v>4217</v>
      </c>
      <c r="E201" s="16">
        <v>3637</v>
      </c>
      <c r="F201" s="16">
        <v>4657</v>
      </c>
      <c r="G201" s="16">
        <v>5093</v>
      </c>
      <c r="H201" s="16">
        <v>3594</v>
      </c>
      <c r="I201" s="16">
        <v>3107</v>
      </c>
      <c r="J201" s="16">
        <v>3319</v>
      </c>
      <c r="K201" s="16">
        <v>3656</v>
      </c>
      <c r="L201" s="16">
        <v>4874</v>
      </c>
      <c r="M201" s="16">
        <v>3563</v>
      </c>
    </row>
    <row r="202" spans="1:14" ht="12.75">
      <c r="A202" s="15" t="s">
        <v>200</v>
      </c>
      <c r="B202" s="16">
        <v>3331</v>
      </c>
      <c r="C202" s="16">
        <v>3413</v>
      </c>
      <c r="D202" s="16">
        <v>2719</v>
      </c>
      <c r="E202" s="16">
        <v>3134</v>
      </c>
      <c r="F202" s="16">
        <v>3321</v>
      </c>
      <c r="G202" s="16">
        <v>3700</v>
      </c>
      <c r="H202" s="16">
        <v>3614</v>
      </c>
      <c r="I202" s="16">
        <v>4353</v>
      </c>
      <c r="J202" s="16">
        <v>3184</v>
      </c>
      <c r="K202" s="16">
        <v>4025</v>
      </c>
      <c r="L202" s="16">
        <v>4126</v>
      </c>
      <c r="M202" s="16">
        <v>3998</v>
      </c>
      <c r="N202" s="13"/>
    </row>
    <row r="203" spans="1:13" ht="12.75" hidden="1">
      <c r="A203" s="15" t="s">
        <v>184</v>
      </c>
      <c r="B203" s="12">
        <v>2564</v>
      </c>
      <c r="C203" s="12">
        <v>2615</v>
      </c>
      <c r="D203" s="12">
        <v>2778</v>
      </c>
      <c r="E203" s="12">
        <v>3024</v>
      </c>
      <c r="F203" s="12">
        <v>2803</v>
      </c>
      <c r="G203" s="12">
        <v>2849</v>
      </c>
      <c r="H203" s="12">
        <v>2940</v>
      </c>
      <c r="I203" s="12">
        <v>2770</v>
      </c>
      <c r="J203" s="12">
        <v>2882</v>
      </c>
      <c r="K203" s="12">
        <v>3523</v>
      </c>
      <c r="L203" s="12">
        <v>3930</v>
      </c>
      <c r="M203" s="12">
        <v>3799</v>
      </c>
    </row>
    <row r="204" spans="1:13" ht="12.75" hidden="1">
      <c r="A204" t="s">
        <v>156</v>
      </c>
      <c r="B204" s="12">
        <v>1938</v>
      </c>
      <c r="C204" s="12">
        <v>2007</v>
      </c>
      <c r="D204" s="12">
        <v>2045</v>
      </c>
      <c r="E204" s="12">
        <v>1894</v>
      </c>
      <c r="F204" s="12">
        <v>1872</v>
      </c>
      <c r="G204" s="12">
        <v>1635</v>
      </c>
      <c r="H204" s="12">
        <v>1726</v>
      </c>
      <c r="I204" s="12">
        <v>1899</v>
      </c>
      <c r="J204" s="12">
        <v>1838</v>
      </c>
      <c r="K204" s="12">
        <v>2104</v>
      </c>
      <c r="L204" s="12">
        <v>1985</v>
      </c>
      <c r="M204" s="12">
        <v>2021</v>
      </c>
    </row>
    <row r="205" spans="1:14" ht="12.75" hidden="1">
      <c r="A205" t="s">
        <v>134</v>
      </c>
      <c r="B205" s="8">
        <v>2054</v>
      </c>
      <c r="C205" s="8">
        <v>1941</v>
      </c>
      <c r="D205" s="8">
        <v>2206</v>
      </c>
      <c r="E205" s="8">
        <v>1956</v>
      </c>
      <c r="F205" s="8">
        <v>1996</v>
      </c>
      <c r="G205" s="8">
        <v>1944</v>
      </c>
      <c r="H205" s="8">
        <v>1771</v>
      </c>
      <c r="I205" s="8">
        <v>1941</v>
      </c>
      <c r="J205" s="8">
        <v>2017</v>
      </c>
      <c r="K205" s="8">
        <v>2018</v>
      </c>
      <c r="L205" s="8">
        <v>1809</v>
      </c>
      <c r="M205" s="8">
        <v>2535</v>
      </c>
      <c r="N205" s="13"/>
    </row>
    <row r="206" spans="1:13" ht="12.75" hidden="1">
      <c r="A206" t="s">
        <v>110</v>
      </c>
      <c r="B206" s="8">
        <v>2662</v>
      </c>
      <c r="C206" s="8">
        <v>2298</v>
      </c>
      <c r="D206" s="8">
        <v>2608</v>
      </c>
      <c r="E206" s="8">
        <v>2426</v>
      </c>
      <c r="F206" s="8">
        <v>2445</v>
      </c>
      <c r="G206" s="8">
        <v>2352</v>
      </c>
      <c r="H206" s="8">
        <v>2262</v>
      </c>
      <c r="I206" s="8">
        <v>2650</v>
      </c>
      <c r="J206" s="8">
        <v>2242</v>
      </c>
      <c r="K206" s="8">
        <v>1817</v>
      </c>
      <c r="L206" s="8">
        <v>2364</v>
      </c>
      <c r="M206" s="8">
        <v>2147</v>
      </c>
    </row>
    <row r="207" spans="1:13" ht="12.75" hidden="1">
      <c r="A207" t="s">
        <v>0</v>
      </c>
      <c r="B207" s="8">
        <v>2391</v>
      </c>
      <c r="C207" s="8">
        <v>2088</v>
      </c>
      <c r="D207" s="8">
        <v>2635</v>
      </c>
      <c r="E207" s="8">
        <v>2164</v>
      </c>
      <c r="F207" s="8">
        <v>1997</v>
      </c>
      <c r="G207" s="8">
        <v>2560</v>
      </c>
      <c r="H207" s="8">
        <v>2894</v>
      </c>
      <c r="I207" s="8">
        <v>2685</v>
      </c>
      <c r="J207" s="8">
        <v>2511</v>
      </c>
      <c r="K207" s="8">
        <v>2948</v>
      </c>
      <c r="L207" s="8">
        <v>2674</v>
      </c>
      <c r="M207" s="8">
        <v>2786</v>
      </c>
    </row>
    <row r="208" spans="1:13" ht="12.75" hidden="1">
      <c r="A208" t="s">
        <v>0</v>
      </c>
      <c r="B208" s="8">
        <v>1472</v>
      </c>
      <c r="C208" s="8">
        <v>1500</v>
      </c>
      <c r="D208" s="8">
        <v>1923</v>
      </c>
      <c r="E208" s="8">
        <v>2104</v>
      </c>
      <c r="F208" s="8">
        <v>2359</v>
      </c>
      <c r="G208" s="8">
        <v>1916</v>
      </c>
      <c r="H208" s="8">
        <v>2052</v>
      </c>
      <c r="I208" s="8">
        <v>2896</v>
      </c>
      <c r="J208" s="8">
        <v>2348</v>
      </c>
      <c r="K208" s="8">
        <v>2222</v>
      </c>
      <c r="L208" s="8">
        <v>2485</v>
      </c>
      <c r="M208" s="8">
        <v>2048</v>
      </c>
    </row>
    <row r="209" spans="2:13" ht="12.75" hidden="1">
      <c r="B209" s="8">
        <v>1398</v>
      </c>
      <c r="C209" s="8">
        <v>1452</v>
      </c>
      <c r="D209" s="8">
        <v>1576</v>
      </c>
      <c r="E209" s="8">
        <v>1538</v>
      </c>
      <c r="F209" s="8">
        <v>1284</v>
      </c>
      <c r="G209" s="8">
        <v>1520</v>
      </c>
      <c r="H209" s="8">
        <v>1513</v>
      </c>
      <c r="I209" s="8">
        <v>1673</v>
      </c>
      <c r="J209" s="8">
        <v>1569</v>
      </c>
      <c r="K209" s="8">
        <v>1837</v>
      </c>
      <c r="L209" s="8">
        <v>1929</v>
      </c>
      <c r="M209" s="8">
        <v>1774</v>
      </c>
    </row>
    <row r="210" spans="2:13" ht="12.75" hidden="1">
      <c r="B210" s="8">
        <v>1310.5635300000001</v>
      </c>
      <c r="C210" s="8">
        <v>1378.8485299999998</v>
      </c>
      <c r="D210" s="8">
        <v>1507.05293</v>
      </c>
      <c r="E210" s="8">
        <v>1310.13805</v>
      </c>
      <c r="F210" s="8">
        <v>1538.45552</v>
      </c>
      <c r="G210" s="8">
        <v>1322.61774</v>
      </c>
      <c r="H210" s="8">
        <v>1399.0189599999999</v>
      </c>
      <c r="I210" s="8">
        <v>1508.72704</v>
      </c>
      <c r="J210" s="8">
        <v>1691.50583</v>
      </c>
      <c r="K210" s="8">
        <v>1451.6481700000002</v>
      </c>
      <c r="L210" s="8">
        <v>1465.1901400000002</v>
      </c>
      <c r="M210" s="8">
        <v>1502.3439099999998</v>
      </c>
    </row>
    <row r="211" spans="2:14" ht="12.75">
      <c r="B211" s="7" t="s">
        <v>77</v>
      </c>
      <c r="C211" s="7" t="s">
        <v>78</v>
      </c>
      <c r="D211" s="7" t="s">
        <v>79</v>
      </c>
      <c r="E211" s="7" t="s">
        <v>80</v>
      </c>
      <c r="F211" s="7" t="s">
        <v>81</v>
      </c>
      <c r="G211" s="7" t="s">
        <v>82</v>
      </c>
      <c r="H211" s="7" t="s">
        <v>83</v>
      </c>
      <c r="I211" s="7" t="s">
        <v>84</v>
      </c>
      <c r="J211" s="7" t="s">
        <v>85</v>
      </c>
      <c r="K211" s="7" t="s">
        <v>86</v>
      </c>
      <c r="L211" s="7" t="s">
        <v>87</v>
      </c>
      <c r="M211" s="7" t="s">
        <v>88</v>
      </c>
      <c r="N211" s="6" t="s">
        <v>119</v>
      </c>
    </row>
    <row r="212" spans="1:14" ht="12.75">
      <c r="A212" s="15" t="s">
        <v>307</v>
      </c>
      <c r="B212" s="16">
        <v>1220</v>
      </c>
      <c r="C212" s="16">
        <v>1178</v>
      </c>
      <c r="D212" s="16">
        <v>1385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3">
        <f>SUM(B212:M212)/Q$1</f>
        <v>1261</v>
      </c>
    </row>
    <row r="213" spans="1:14" ht="12.75">
      <c r="A213" s="15" t="s">
        <v>308</v>
      </c>
      <c r="B213" s="16">
        <v>1314</v>
      </c>
      <c r="C213" s="16">
        <v>1319</v>
      </c>
      <c r="D213" s="16">
        <v>1337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3">
        <f>SUM(B213:M213)/Q$1</f>
        <v>1323.3333333333333</v>
      </c>
    </row>
    <row r="214" spans="1:14" ht="12.75">
      <c r="A214" s="15" t="s">
        <v>260</v>
      </c>
      <c r="B214" s="16">
        <v>1276</v>
      </c>
      <c r="C214" s="16">
        <v>1281</v>
      </c>
      <c r="D214" s="16">
        <v>1298</v>
      </c>
      <c r="E214" s="16">
        <v>1382</v>
      </c>
      <c r="F214" s="16">
        <v>1474</v>
      </c>
      <c r="G214" s="16">
        <v>1673</v>
      </c>
      <c r="H214" s="16">
        <v>1495</v>
      </c>
      <c r="I214" s="16">
        <v>1409</v>
      </c>
      <c r="J214" s="16">
        <v>1502</v>
      </c>
      <c r="K214" s="16">
        <v>1238</v>
      </c>
      <c r="L214" s="16">
        <v>1240</v>
      </c>
      <c r="M214" s="16">
        <v>1368</v>
      </c>
      <c r="N214" s="13">
        <f aca="true" t="shared" si="27" ref="N214:N219">SUM(B214:M214)/12</f>
        <v>1386.3333333333333</v>
      </c>
    </row>
    <row r="215" spans="1:14" ht="12.75">
      <c r="A215" s="15" t="s">
        <v>241</v>
      </c>
      <c r="B215" s="16">
        <v>672</v>
      </c>
      <c r="C215" s="16">
        <v>712</v>
      </c>
      <c r="D215" s="16">
        <v>907</v>
      </c>
      <c r="E215" s="16">
        <v>1027</v>
      </c>
      <c r="F215" s="16">
        <v>1145</v>
      </c>
      <c r="G215" s="16">
        <v>1242</v>
      </c>
      <c r="H215" s="16">
        <v>1404</v>
      </c>
      <c r="I215" s="16">
        <v>1382</v>
      </c>
      <c r="J215" s="16">
        <v>1276</v>
      </c>
      <c r="K215" s="16">
        <v>1434</v>
      </c>
      <c r="L215" s="16">
        <v>1268</v>
      </c>
      <c r="M215" s="16">
        <v>1287</v>
      </c>
      <c r="N215" s="13">
        <f t="shared" si="27"/>
        <v>1146.3333333333333</v>
      </c>
    </row>
    <row r="216" spans="1:14" ht="12.75">
      <c r="A216" s="15" t="s">
        <v>223</v>
      </c>
      <c r="B216" s="16">
        <v>586</v>
      </c>
      <c r="C216" s="16">
        <v>509</v>
      </c>
      <c r="D216" s="16">
        <v>627</v>
      </c>
      <c r="E216" s="16">
        <v>726</v>
      </c>
      <c r="F216" s="16">
        <v>604</v>
      </c>
      <c r="G216" s="16">
        <v>665</v>
      </c>
      <c r="H216" s="16">
        <v>621</v>
      </c>
      <c r="I216" s="16">
        <v>665</v>
      </c>
      <c r="J216" s="16">
        <v>558</v>
      </c>
      <c r="K216" s="16">
        <v>694</v>
      </c>
      <c r="L216" s="16">
        <v>646</v>
      </c>
      <c r="M216" s="16">
        <v>834</v>
      </c>
      <c r="N216" s="13">
        <f t="shared" si="27"/>
        <v>644.5833333333334</v>
      </c>
    </row>
    <row r="217" spans="1:14" ht="12.75">
      <c r="A217" s="15" t="s">
        <v>201</v>
      </c>
      <c r="B217" s="16">
        <v>668</v>
      </c>
      <c r="C217" s="16">
        <v>648</v>
      </c>
      <c r="D217" s="16">
        <v>676</v>
      </c>
      <c r="E217" s="16">
        <v>596</v>
      </c>
      <c r="F217" s="16">
        <v>935</v>
      </c>
      <c r="G217" s="16">
        <v>769</v>
      </c>
      <c r="H217" s="16">
        <v>779</v>
      </c>
      <c r="I217" s="16">
        <v>564</v>
      </c>
      <c r="J217" s="16">
        <v>620</v>
      </c>
      <c r="K217" s="16">
        <v>769</v>
      </c>
      <c r="L217" s="16">
        <v>743</v>
      </c>
      <c r="M217" s="16">
        <v>645</v>
      </c>
      <c r="N217" s="13">
        <f t="shared" si="27"/>
        <v>701</v>
      </c>
    </row>
    <row r="218" spans="1:14" ht="12.75" hidden="1">
      <c r="A218" s="15" t="s">
        <v>185</v>
      </c>
      <c r="B218" s="16">
        <v>686</v>
      </c>
      <c r="C218" s="16">
        <v>710</v>
      </c>
      <c r="D218" s="16">
        <v>638</v>
      </c>
      <c r="E218" s="16">
        <v>740</v>
      </c>
      <c r="F218" s="16">
        <v>841</v>
      </c>
      <c r="G218" s="16">
        <v>703</v>
      </c>
      <c r="H218" s="16">
        <v>757</v>
      </c>
      <c r="I218" s="16">
        <v>792</v>
      </c>
      <c r="J218" s="16">
        <v>726</v>
      </c>
      <c r="K218" s="16">
        <v>648</v>
      </c>
      <c r="L218" s="16">
        <v>758</v>
      </c>
      <c r="M218" s="16">
        <v>712</v>
      </c>
      <c r="N218" s="13">
        <f t="shared" si="27"/>
        <v>725.9166666666666</v>
      </c>
    </row>
    <row r="219" spans="1:14" ht="12.75" hidden="1">
      <c r="A219" t="s">
        <v>157</v>
      </c>
      <c r="B219" s="8">
        <v>1171</v>
      </c>
      <c r="C219" s="8">
        <v>996</v>
      </c>
      <c r="D219" s="8">
        <v>878</v>
      </c>
      <c r="E219" s="8">
        <v>688</v>
      </c>
      <c r="F219" s="8">
        <v>765</v>
      </c>
      <c r="G219" s="8">
        <v>777</v>
      </c>
      <c r="H219" s="8">
        <v>705</v>
      </c>
      <c r="I219" s="8">
        <v>756</v>
      </c>
      <c r="J219" s="8">
        <v>701</v>
      </c>
      <c r="K219" s="8">
        <v>823</v>
      </c>
      <c r="L219" s="8">
        <v>829</v>
      </c>
      <c r="M219" s="8">
        <v>925</v>
      </c>
      <c r="N219" s="13">
        <f t="shared" si="27"/>
        <v>834.5</v>
      </c>
    </row>
    <row r="220" spans="1:14" ht="12.75" hidden="1">
      <c r="A220" t="s">
        <v>135</v>
      </c>
      <c r="B220" s="8">
        <v>830</v>
      </c>
      <c r="C220" s="8">
        <v>771</v>
      </c>
      <c r="D220" s="8">
        <v>1002</v>
      </c>
      <c r="E220" s="8">
        <v>905</v>
      </c>
      <c r="F220" s="8">
        <v>848</v>
      </c>
      <c r="G220" s="8">
        <v>812</v>
      </c>
      <c r="H220" s="8">
        <v>715</v>
      </c>
      <c r="I220" s="8">
        <v>805</v>
      </c>
      <c r="J220" s="8">
        <v>925</v>
      </c>
      <c r="K220" s="8">
        <v>867</v>
      </c>
      <c r="L220" s="8">
        <v>950</v>
      </c>
      <c r="M220" s="8">
        <v>1120</v>
      </c>
      <c r="N220" s="13">
        <v>879.1666666666666</v>
      </c>
    </row>
    <row r="221" spans="1:14" ht="12.75" hidden="1">
      <c r="A221" t="s">
        <v>118</v>
      </c>
      <c r="B221" s="8">
        <v>820</v>
      </c>
      <c r="C221" s="8">
        <v>1014</v>
      </c>
      <c r="D221" s="8">
        <v>952</v>
      </c>
      <c r="E221" s="8">
        <v>1015</v>
      </c>
      <c r="F221" s="8">
        <v>1045</v>
      </c>
      <c r="G221" s="8">
        <v>987</v>
      </c>
      <c r="H221" s="8">
        <v>985</v>
      </c>
      <c r="I221" s="8">
        <v>908</v>
      </c>
      <c r="J221" s="8">
        <v>930</v>
      </c>
      <c r="K221" s="8">
        <v>892</v>
      </c>
      <c r="L221" s="8">
        <v>1041</v>
      </c>
      <c r="M221" s="8">
        <v>958</v>
      </c>
      <c r="N221" s="13">
        <v>962.25</v>
      </c>
    </row>
    <row r="222" spans="1:14" ht="12.75" hidden="1">
      <c r="A222" t="s">
        <v>66</v>
      </c>
      <c r="B222" s="9">
        <v>803</v>
      </c>
      <c r="C222" s="9">
        <v>652</v>
      </c>
      <c r="D222" s="9">
        <v>849</v>
      </c>
      <c r="E222" s="9">
        <v>693</v>
      </c>
      <c r="F222" s="9">
        <v>695</v>
      </c>
      <c r="G222" s="9">
        <v>964</v>
      </c>
      <c r="H222" s="9">
        <v>943</v>
      </c>
      <c r="I222" s="9">
        <v>906</v>
      </c>
      <c r="J222" s="9">
        <v>941</v>
      </c>
      <c r="K222" s="9">
        <v>850</v>
      </c>
      <c r="L222" s="9">
        <v>853</v>
      </c>
      <c r="M222" s="9">
        <v>1052</v>
      </c>
      <c r="N222" s="13">
        <v>850.0833333333334</v>
      </c>
    </row>
    <row r="223" spans="1:14" ht="12.75" hidden="1">
      <c r="A223" t="s">
        <v>51</v>
      </c>
      <c r="B223" s="8">
        <v>810</v>
      </c>
      <c r="C223" s="8">
        <v>778</v>
      </c>
      <c r="D223" s="8">
        <v>685</v>
      </c>
      <c r="E223" s="8">
        <v>690</v>
      </c>
      <c r="F223" s="8">
        <v>770</v>
      </c>
      <c r="G223" s="8">
        <v>836</v>
      </c>
      <c r="H223" s="8">
        <v>877</v>
      </c>
      <c r="I223" s="8">
        <v>802</v>
      </c>
      <c r="J223" s="8">
        <v>821</v>
      </c>
      <c r="K223" s="8">
        <v>842</v>
      </c>
      <c r="L223" s="8">
        <v>675</v>
      </c>
      <c r="M223" s="8">
        <v>748</v>
      </c>
      <c r="N223" s="13">
        <v>777.8333333333334</v>
      </c>
    </row>
    <row r="224" spans="1:14" ht="12.75" hidden="1">
      <c r="A224" t="s">
        <v>14</v>
      </c>
      <c r="B224" s="8">
        <v>694</v>
      </c>
      <c r="C224" s="8">
        <v>622</v>
      </c>
      <c r="D224" s="8">
        <v>702</v>
      </c>
      <c r="E224" s="8">
        <v>578</v>
      </c>
      <c r="F224" s="8">
        <v>579</v>
      </c>
      <c r="G224" s="8">
        <v>562</v>
      </c>
      <c r="H224" s="8">
        <v>631</v>
      </c>
      <c r="I224" s="8">
        <v>604</v>
      </c>
      <c r="J224" s="8">
        <v>616</v>
      </c>
      <c r="K224" s="8">
        <v>888</v>
      </c>
      <c r="L224" s="8">
        <v>709</v>
      </c>
      <c r="M224" s="8">
        <v>786</v>
      </c>
      <c r="N224" s="13">
        <v>664.25</v>
      </c>
    </row>
    <row r="225" spans="1:13" ht="12.75" hidden="1">
      <c r="A225" t="s">
        <v>13</v>
      </c>
      <c r="B225" s="10">
        <v>476</v>
      </c>
      <c r="C225" s="10">
        <v>500</v>
      </c>
      <c r="D225" s="10">
        <v>501</v>
      </c>
      <c r="E225" s="10">
        <v>549</v>
      </c>
      <c r="F225" s="10">
        <v>556</v>
      </c>
      <c r="G225" s="10">
        <v>504</v>
      </c>
      <c r="H225" s="10">
        <v>573</v>
      </c>
      <c r="I225" s="10">
        <v>577</v>
      </c>
      <c r="J225" s="10">
        <v>554</v>
      </c>
      <c r="K225" s="10">
        <v>622</v>
      </c>
      <c r="L225" s="10">
        <v>600</v>
      </c>
      <c r="M225" s="10">
        <v>511</v>
      </c>
    </row>
    <row r="226" spans="2:14" ht="12.75">
      <c r="B226" s="7" t="s">
        <v>77</v>
      </c>
      <c r="C226" s="7" t="s">
        <v>78</v>
      </c>
      <c r="D226" s="7" t="s">
        <v>79</v>
      </c>
      <c r="E226" s="7" t="s">
        <v>80</v>
      </c>
      <c r="F226" s="7" t="s">
        <v>81</v>
      </c>
      <c r="G226" s="7" t="s">
        <v>82</v>
      </c>
      <c r="H226" s="7" t="s">
        <v>83</v>
      </c>
      <c r="I226" s="7" t="s">
        <v>84</v>
      </c>
      <c r="J226" s="7" t="s">
        <v>85</v>
      </c>
      <c r="K226" s="7" t="s">
        <v>86</v>
      </c>
      <c r="L226" s="7" t="s">
        <v>87</v>
      </c>
      <c r="M226" s="7" t="s">
        <v>88</v>
      </c>
      <c r="N226" s="6" t="s">
        <v>119</v>
      </c>
    </row>
    <row r="227" spans="1:14" ht="12.75">
      <c r="A227" s="15" t="s">
        <v>309</v>
      </c>
      <c r="B227" s="16">
        <f>2844+340</f>
        <v>3184</v>
      </c>
      <c r="C227" s="16">
        <f>2596+464</f>
        <v>3060</v>
      </c>
      <c r="D227" s="16">
        <f>2746+184</f>
        <v>2930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3">
        <f>SUM(B227:M227)/Q$1</f>
        <v>3058</v>
      </c>
    </row>
    <row r="228" spans="1:14" ht="12.75">
      <c r="A228" s="15" t="s">
        <v>310</v>
      </c>
      <c r="B228" s="16">
        <v>690</v>
      </c>
      <c r="C228" s="16">
        <v>365</v>
      </c>
      <c r="D228" s="16">
        <v>457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3">
        <f>SUM(B228:M228)/Q$1</f>
        <v>504</v>
      </c>
    </row>
    <row r="229" spans="1:14" ht="12.75">
      <c r="A229" s="15" t="s">
        <v>311</v>
      </c>
      <c r="B229" s="16">
        <v>3886</v>
      </c>
      <c r="C229" s="16">
        <v>3459</v>
      </c>
      <c r="D229" s="16">
        <v>2573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3">
        <f>SUM(B229:M229)/Q$1</f>
        <v>3306</v>
      </c>
    </row>
    <row r="230" spans="1:14" ht="12.75">
      <c r="A230" s="15" t="s">
        <v>261</v>
      </c>
      <c r="B230" s="16">
        <v>2968</v>
      </c>
      <c r="C230" s="16">
        <v>2484</v>
      </c>
      <c r="D230" s="16">
        <v>2038</v>
      </c>
      <c r="E230" s="16">
        <v>1791</v>
      </c>
      <c r="F230" s="16">
        <v>1919</v>
      </c>
      <c r="G230" s="16">
        <v>2079</v>
      </c>
      <c r="H230" s="16">
        <v>2376</v>
      </c>
      <c r="I230" s="16">
        <f>2037+501</f>
        <v>2538</v>
      </c>
      <c r="J230" s="16">
        <f>1591+975</f>
        <v>2566</v>
      </c>
      <c r="K230" s="16">
        <f>1120+1280</f>
        <v>2400</v>
      </c>
      <c r="L230" s="16">
        <f>3254+1088</f>
        <v>4342</v>
      </c>
      <c r="M230" s="16">
        <f>2524+355</f>
        <v>2879</v>
      </c>
      <c r="N230" s="13">
        <f>SUM(B230:M230)/12</f>
        <v>2531.6666666666665</v>
      </c>
    </row>
    <row r="231" spans="1:14" ht="12.75">
      <c r="A231" s="15" t="s">
        <v>262</v>
      </c>
      <c r="B231" s="16">
        <v>805</v>
      </c>
      <c r="C231" s="16">
        <v>874</v>
      </c>
      <c r="D231" s="16">
        <v>460</v>
      </c>
      <c r="E231" s="16">
        <v>144</v>
      </c>
      <c r="F231" s="16">
        <v>193</v>
      </c>
      <c r="G231" s="16">
        <v>286</v>
      </c>
      <c r="H231" s="16">
        <v>440</v>
      </c>
      <c r="I231" s="16">
        <v>186</v>
      </c>
      <c r="J231" s="16">
        <v>617</v>
      </c>
      <c r="K231" s="16">
        <v>561</v>
      </c>
      <c r="L231" s="16">
        <v>645</v>
      </c>
      <c r="M231" s="16">
        <v>633</v>
      </c>
      <c r="N231" s="13">
        <f>SUM(B231:M231)/12</f>
        <v>487</v>
      </c>
    </row>
    <row r="232" spans="1:14" ht="12.75">
      <c r="A232" s="15" t="s">
        <v>242</v>
      </c>
      <c r="B232" s="16">
        <v>2896</v>
      </c>
      <c r="C232" s="16">
        <v>2603</v>
      </c>
      <c r="D232" s="16">
        <v>2682</v>
      </c>
      <c r="E232" s="16">
        <v>2746</v>
      </c>
      <c r="F232" s="16">
        <v>2880</v>
      </c>
      <c r="G232" s="16">
        <v>2144</v>
      </c>
      <c r="H232" s="16">
        <v>2668</v>
      </c>
      <c r="I232" s="16">
        <v>2972</v>
      </c>
      <c r="J232" s="16">
        <v>2581</v>
      </c>
      <c r="K232" s="16">
        <v>2850</v>
      </c>
      <c r="L232" s="16">
        <v>2460</v>
      </c>
      <c r="M232" s="16">
        <v>2640</v>
      </c>
      <c r="N232" s="13">
        <f aca="true" t="shared" si="28" ref="N232:N238">SUM(B232:M232)/12</f>
        <v>2676.8333333333335</v>
      </c>
    </row>
    <row r="233" spans="1:14" ht="12.75">
      <c r="A233" s="15" t="s">
        <v>243</v>
      </c>
      <c r="B233" s="16">
        <v>635</v>
      </c>
      <c r="C233" s="16">
        <v>850</v>
      </c>
      <c r="D233" s="16">
        <v>648</v>
      </c>
      <c r="E233" s="16">
        <v>344</v>
      </c>
      <c r="F233" s="16">
        <v>390</v>
      </c>
      <c r="G233" s="16">
        <v>392</v>
      </c>
      <c r="H233" s="16">
        <v>336</v>
      </c>
      <c r="I233" s="16">
        <v>405</v>
      </c>
      <c r="J233" s="16">
        <v>483</v>
      </c>
      <c r="K233" s="16">
        <v>517</v>
      </c>
      <c r="L233" s="16">
        <v>606</v>
      </c>
      <c r="M233" s="16">
        <v>825</v>
      </c>
      <c r="N233" s="13">
        <f t="shared" si="28"/>
        <v>535.9166666666666</v>
      </c>
    </row>
    <row r="234" spans="1:14" ht="12.75">
      <c r="A234" s="15" t="s">
        <v>224</v>
      </c>
      <c r="B234" s="16">
        <v>2623</v>
      </c>
      <c r="C234" s="16">
        <v>2314</v>
      </c>
      <c r="D234" s="16">
        <v>2245</v>
      </c>
      <c r="E234" s="16">
        <v>2477</v>
      </c>
      <c r="F234" s="16">
        <v>2374</v>
      </c>
      <c r="G234" s="16">
        <v>2096</v>
      </c>
      <c r="H234" s="16">
        <v>2247</v>
      </c>
      <c r="I234" s="16">
        <v>2393</v>
      </c>
      <c r="J234" s="16">
        <v>2802</v>
      </c>
      <c r="K234" s="16">
        <v>2757</v>
      </c>
      <c r="L234" s="16">
        <v>2539</v>
      </c>
      <c r="M234" s="16">
        <v>2245</v>
      </c>
      <c r="N234" s="13">
        <f t="shared" si="28"/>
        <v>2426</v>
      </c>
    </row>
    <row r="235" spans="1:14" ht="12.75">
      <c r="A235" s="15" t="s">
        <v>225</v>
      </c>
      <c r="B235" s="16">
        <v>1245</v>
      </c>
      <c r="C235" s="16">
        <v>981</v>
      </c>
      <c r="D235" s="16">
        <v>714</v>
      </c>
      <c r="E235" s="16">
        <v>493</v>
      </c>
      <c r="F235" s="16">
        <v>548</v>
      </c>
      <c r="G235" s="16">
        <v>553</v>
      </c>
      <c r="H235" s="16">
        <v>535</v>
      </c>
      <c r="I235" s="16">
        <v>612</v>
      </c>
      <c r="J235" s="16">
        <v>675</v>
      </c>
      <c r="K235" s="16">
        <v>470</v>
      </c>
      <c r="L235" s="16">
        <v>422</v>
      </c>
      <c r="M235" s="16">
        <v>636</v>
      </c>
      <c r="N235" s="13">
        <f t="shared" si="28"/>
        <v>657</v>
      </c>
    </row>
    <row r="236" spans="1:14" ht="12.75">
      <c r="A236" s="15" t="s">
        <v>202</v>
      </c>
      <c r="B236" s="16">
        <v>2900</v>
      </c>
      <c r="C236" s="16">
        <v>2704</v>
      </c>
      <c r="D236" s="16">
        <v>2494</v>
      </c>
      <c r="E236" s="16">
        <v>1688</v>
      </c>
      <c r="F236" s="16">
        <v>2058</v>
      </c>
      <c r="G236" s="16">
        <v>2084</v>
      </c>
      <c r="H236" s="16">
        <v>2023</v>
      </c>
      <c r="I236" s="16">
        <v>2331</v>
      </c>
      <c r="J236" s="16">
        <v>2217</v>
      </c>
      <c r="K236" s="16">
        <v>2498</v>
      </c>
      <c r="L236" s="16">
        <v>2426</v>
      </c>
      <c r="M236" s="16">
        <v>2048</v>
      </c>
      <c r="N236" s="13">
        <f t="shared" si="28"/>
        <v>2289.25</v>
      </c>
    </row>
    <row r="237" spans="1:14" ht="12.75">
      <c r="A237" s="15" t="s">
        <v>203</v>
      </c>
      <c r="B237" s="8">
        <v>473</v>
      </c>
      <c r="C237" s="8">
        <v>624</v>
      </c>
      <c r="D237" s="8">
        <v>432</v>
      </c>
      <c r="E237" s="8">
        <v>365</v>
      </c>
      <c r="F237" s="8">
        <v>348</v>
      </c>
      <c r="G237" s="8">
        <v>463</v>
      </c>
      <c r="H237" s="8">
        <v>433</v>
      </c>
      <c r="I237" s="8">
        <v>402</v>
      </c>
      <c r="J237" s="8">
        <v>460</v>
      </c>
      <c r="K237" s="8">
        <v>646</v>
      </c>
      <c r="L237" s="8">
        <v>549</v>
      </c>
      <c r="M237" s="8">
        <v>729</v>
      </c>
      <c r="N237" s="13">
        <f t="shared" si="28"/>
        <v>493.6666666666667</v>
      </c>
    </row>
    <row r="238" spans="1:14" ht="12.75" hidden="1">
      <c r="A238" s="15" t="s">
        <v>186</v>
      </c>
      <c r="B238" s="16">
        <v>2810</v>
      </c>
      <c r="C238" s="16">
        <v>3217</v>
      </c>
      <c r="D238" s="16">
        <v>2731</v>
      </c>
      <c r="E238" s="16">
        <v>2744</v>
      </c>
      <c r="F238" s="16">
        <v>2654</v>
      </c>
      <c r="G238" s="16">
        <v>2341</v>
      </c>
      <c r="H238" s="16">
        <v>2263</v>
      </c>
      <c r="I238" s="16">
        <v>2804</v>
      </c>
      <c r="J238" s="16">
        <v>2565</v>
      </c>
      <c r="K238" s="16">
        <v>2470</v>
      </c>
      <c r="L238" s="16">
        <v>2211</v>
      </c>
      <c r="M238" s="16">
        <v>2113</v>
      </c>
      <c r="N238" s="13">
        <f t="shared" si="28"/>
        <v>2576.9166666666665</v>
      </c>
    </row>
    <row r="239" spans="1:14" ht="12.75" hidden="1">
      <c r="A239" s="15" t="s">
        <v>187</v>
      </c>
      <c r="B239" s="16">
        <v>425</v>
      </c>
      <c r="C239" s="16">
        <v>496</v>
      </c>
      <c r="D239" s="16">
        <v>449</v>
      </c>
      <c r="E239" s="16">
        <v>395</v>
      </c>
      <c r="F239" s="16">
        <v>300</v>
      </c>
      <c r="G239" s="16">
        <v>320</v>
      </c>
      <c r="H239" s="16">
        <v>336</v>
      </c>
      <c r="I239" s="16">
        <v>300</v>
      </c>
      <c r="J239" s="16">
        <v>417</v>
      </c>
      <c r="K239" s="16">
        <v>487</v>
      </c>
      <c r="L239" s="16">
        <v>503</v>
      </c>
      <c r="M239" s="16">
        <v>468</v>
      </c>
      <c r="N239" s="13">
        <f>SUM(B239:M239)/6</f>
        <v>816</v>
      </c>
    </row>
    <row r="240" spans="1:14" ht="12.75" hidden="1">
      <c r="A240" t="s">
        <v>158</v>
      </c>
      <c r="B240" s="8">
        <v>2644</v>
      </c>
      <c r="C240" s="8">
        <v>2531</v>
      </c>
      <c r="D240" s="8">
        <v>2417</v>
      </c>
      <c r="E240" s="8">
        <v>2242</v>
      </c>
      <c r="F240" s="8">
        <v>2349</v>
      </c>
      <c r="G240" s="8">
        <v>1945</v>
      </c>
      <c r="H240" s="8">
        <v>1687</v>
      </c>
      <c r="I240" s="8">
        <v>1941</v>
      </c>
      <c r="J240" s="8">
        <v>1919</v>
      </c>
      <c r="K240" s="8">
        <v>2313</v>
      </c>
      <c r="L240" s="8">
        <v>2076</v>
      </c>
      <c r="M240" s="8">
        <v>1994</v>
      </c>
      <c r="N240" s="13">
        <f>SUM(B240:M240)/12</f>
        <v>2171.5</v>
      </c>
    </row>
    <row r="241" spans="1:14" ht="12.75" hidden="1">
      <c r="A241" t="s">
        <v>136</v>
      </c>
      <c r="B241" s="8">
        <v>2633</v>
      </c>
      <c r="C241" s="8">
        <v>2415</v>
      </c>
      <c r="D241" s="8">
        <v>2582</v>
      </c>
      <c r="E241" s="8">
        <v>2224</v>
      </c>
      <c r="F241" s="8">
        <v>2217</v>
      </c>
      <c r="G241" s="8">
        <v>2117</v>
      </c>
      <c r="H241" s="8">
        <v>1808</v>
      </c>
      <c r="I241" s="8">
        <v>2393</v>
      </c>
      <c r="J241" s="8">
        <v>2365</v>
      </c>
      <c r="K241" s="8">
        <v>2295</v>
      </c>
      <c r="L241" s="8">
        <v>2309</v>
      </c>
      <c r="M241" s="8">
        <v>2137</v>
      </c>
      <c r="N241" s="13">
        <v>2291.25</v>
      </c>
    </row>
    <row r="242" spans="1:14" ht="12.75" hidden="1">
      <c r="A242" t="s">
        <v>111</v>
      </c>
      <c r="B242" s="8">
        <v>2228</v>
      </c>
      <c r="C242" s="8">
        <v>2268</v>
      </c>
      <c r="D242" s="8">
        <v>2364</v>
      </c>
      <c r="E242" s="8">
        <v>2230</v>
      </c>
      <c r="F242" s="8">
        <v>2034</v>
      </c>
      <c r="G242" s="8">
        <v>2189</v>
      </c>
      <c r="H242" s="8">
        <v>1860</v>
      </c>
      <c r="I242" s="8">
        <v>2153</v>
      </c>
      <c r="J242" s="8">
        <v>2326</v>
      </c>
      <c r="K242" s="8">
        <v>2310</v>
      </c>
      <c r="L242" s="8">
        <v>2410</v>
      </c>
      <c r="M242" s="8">
        <v>2266</v>
      </c>
      <c r="N242" s="13">
        <v>2219.8333333333335</v>
      </c>
    </row>
    <row r="243" spans="1:14" ht="12.75" hidden="1">
      <c r="A243" t="s">
        <v>65</v>
      </c>
      <c r="B243" s="9">
        <v>2401</v>
      </c>
      <c r="C243" s="9">
        <v>2204</v>
      </c>
      <c r="D243" s="9">
        <v>2598</v>
      </c>
      <c r="E243" s="9">
        <v>2380</v>
      </c>
      <c r="F243" s="9">
        <v>1963</v>
      </c>
      <c r="G243" s="9">
        <v>2132</v>
      </c>
      <c r="H243" s="9">
        <v>1957</v>
      </c>
      <c r="I243" s="9">
        <v>2157</v>
      </c>
      <c r="J243" s="9">
        <v>2269</v>
      </c>
      <c r="K243" s="9">
        <v>2324</v>
      </c>
      <c r="L243" s="9">
        <v>1986</v>
      </c>
      <c r="M243" s="9">
        <v>2088</v>
      </c>
      <c r="N243" s="13">
        <v>2204.9166666666665</v>
      </c>
    </row>
    <row r="244" spans="1:14" ht="12.75" hidden="1">
      <c r="A244" t="s">
        <v>52</v>
      </c>
      <c r="B244" s="8">
        <v>806</v>
      </c>
      <c r="C244" s="8">
        <v>914</v>
      </c>
      <c r="D244" s="8">
        <v>516</v>
      </c>
      <c r="E244" s="8">
        <v>2276</v>
      </c>
      <c r="F244" s="8">
        <v>2023</v>
      </c>
      <c r="G244" s="8">
        <v>2161</v>
      </c>
      <c r="H244" s="8">
        <v>2235</v>
      </c>
      <c r="I244" s="8">
        <v>2174</v>
      </c>
      <c r="J244" s="8">
        <v>2399</v>
      </c>
      <c r="K244" s="8">
        <v>2443</v>
      </c>
      <c r="L244" s="8">
        <v>2199</v>
      </c>
      <c r="M244" s="8">
        <v>2256</v>
      </c>
      <c r="N244" s="13">
        <v>1866.8333333333333</v>
      </c>
    </row>
    <row r="245" spans="1:14" ht="12.75" hidden="1">
      <c r="A245" t="s">
        <v>12</v>
      </c>
      <c r="B245" s="8">
        <v>518</v>
      </c>
      <c r="C245" s="8">
        <v>454</v>
      </c>
      <c r="D245" s="8">
        <v>611</v>
      </c>
      <c r="E245" s="8">
        <v>634</v>
      </c>
      <c r="F245" s="8">
        <v>598</v>
      </c>
      <c r="G245" s="8">
        <v>500</v>
      </c>
      <c r="H245" s="8">
        <v>648</v>
      </c>
      <c r="I245" s="8">
        <v>758</v>
      </c>
      <c r="J245" s="8">
        <v>584</v>
      </c>
      <c r="K245" s="8">
        <v>934</v>
      </c>
      <c r="L245" s="8">
        <v>795</v>
      </c>
      <c r="M245" s="8">
        <v>622</v>
      </c>
      <c r="N245" s="13">
        <v>638</v>
      </c>
    </row>
    <row r="246" spans="1:13" ht="12.75" hidden="1">
      <c r="A246" t="s">
        <v>11</v>
      </c>
      <c r="B246" s="8">
        <v>723</v>
      </c>
      <c r="C246" s="8">
        <v>469</v>
      </c>
      <c r="D246" s="8">
        <v>484</v>
      </c>
      <c r="E246" s="8">
        <v>386</v>
      </c>
      <c r="F246" s="8">
        <v>392</v>
      </c>
      <c r="G246" s="8">
        <v>387</v>
      </c>
      <c r="H246" s="8">
        <v>362</v>
      </c>
      <c r="I246" s="8">
        <v>550</v>
      </c>
      <c r="J246" s="8">
        <v>432</v>
      </c>
      <c r="K246" s="8">
        <v>584</v>
      </c>
      <c r="L246" s="8">
        <v>550</v>
      </c>
      <c r="M246" s="8">
        <v>404</v>
      </c>
    </row>
    <row r="247" spans="2:14" ht="12.75">
      <c r="B247" s="7" t="s">
        <v>77</v>
      </c>
      <c r="C247" s="7" t="s">
        <v>78</v>
      </c>
      <c r="D247" s="7" t="s">
        <v>79</v>
      </c>
      <c r="E247" s="7" t="s">
        <v>80</v>
      </c>
      <c r="F247" s="7" t="s">
        <v>81</v>
      </c>
      <c r="G247" s="7" t="s">
        <v>82</v>
      </c>
      <c r="H247" s="7" t="s">
        <v>83</v>
      </c>
      <c r="I247" s="7" t="s">
        <v>84</v>
      </c>
      <c r="J247" s="7" t="s">
        <v>85</v>
      </c>
      <c r="K247" s="7" t="s">
        <v>86</v>
      </c>
      <c r="L247" s="7" t="s">
        <v>87</v>
      </c>
      <c r="M247" s="7" t="s">
        <v>88</v>
      </c>
      <c r="N247" s="6" t="s">
        <v>120</v>
      </c>
    </row>
    <row r="248" spans="1:14" ht="12.75" hidden="1">
      <c r="A248" t="s">
        <v>168</v>
      </c>
      <c r="B248" s="8">
        <v>82</v>
      </c>
      <c r="C248" s="8">
        <v>73</v>
      </c>
      <c r="D248" s="8">
        <v>98</v>
      </c>
      <c r="E248" s="8">
        <v>95</v>
      </c>
      <c r="F248" s="8">
        <v>106</v>
      </c>
      <c r="G248" s="8">
        <v>42</v>
      </c>
      <c r="H248" s="8">
        <v>90</v>
      </c>
      <c r="I248" s="8">
        <v>118</v>
      </c>
      <c r="J248" s="8">
        <v>97</v>
      </c>
      <c r="K248" s="8">
        <v>115</v>
      </c>
      <c r="L248" s="8">
        <v>104</v>
      </c>
      <c r="M248" s="8">
        <v>85</v>
      </c>
      <c r="N248" s="13">
        <f>SUM(B248:M248)/Q$1</f>
        <v>368.3333333333333</v>
      </c>
    </row>
    <row r="249" spans="1:14" ht="12.75" hidden="1">
      <c r="A249" t="s">
        <v>169</v>
      </c>
      <c r="B249" s="8">
        <v>217</v>
      </c>
      <c r="C249" s="8">
        <v>116</v>
      </c>
      <c r="D249" s="8">
        <v>135</v>
      </c>
      <c r="E249" s="8">
        <v>215</v>
      </c>
      <c r="F249" s="8">
        <v>180</v>
      </c>
      <c r="G249" s="8">
        <v>87</v>
      </c>
      <c r="H249" s="8">
        <v>96</v>
      </c>
      <c r="I249" s="8">
        <v>180</v>
      </c>
      <c r="J249" s="8">
        <v>168</v>
      </c>
      <c r="K249" s="8">
        <v>100</v>
      </c>
      <c r="L249" s="8">
        <v>106</v>
      </c>
      <c r="M249" s="8">
        <v>65</v>
      </c>
      <c r="N249" s="13">
        <f>SUM(B249:M249)/12</f>
        <v>138.75</v>
      </c>
    </row>
    <row r="250" spans="1:14" ht="12.75">
      <c r="A250" s="15" t="s">
        <v>313</v>
      </c>
      <c r="B250" s="16">
        <v>183</v>
      </c>
      <c r="C250" s="16">
        <v>197</v>
      </c>
      <c r="D250" s="16">
        <v>259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3">
        <f>SUM(B250:M250)/Q$1</f>
        <v>213</v>
      </c>
    </row>
    <row r="251" spans="1:14" ht="12.75">
      <c r="A251" s="15" t="s">
        <v>312</v>
      </c>
      <c r="B251" s="16">
        <v>286</v>
      </c>
      <c r="C251" s="16">
        <v>236</v>
      </c>
      <c r="D251" s="16">
        <v>250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3">
        <f>SUM(B251:M251)/Q$1</f>
        <v>257.3333333333333</v>
      </c>
    </row>
    <row r="252" spans="1:14" ht="12.75">
      <c r="A252" s="15" t="s">
        <v>263</v>
      </c>
      <c r="B252" s="16">
        <v>278</v>
      </c>
      <c r="C252" s="16">
        <v>229</v>
      </c>
      <c r="D252" s="16">
        <v>243</v>
      </c>
      <c r="E252" s="16">
        <v>149</v>
      </c>
      <c r="F252" s="16">
        <v>209</v>
      </c>
      <c r="G252" s="16">
        <v>239</v>
      </c>
      <c r="H252" s="16">
        <v>251</v>
      </c>
      <c r="I252" s="16">
        <v>245</v>
      </c>
      <c r="J252" s="16">
        <v>269</v>
      </c>
      <c r="K252" s="16">
        <v>228</v>
      </c>
      <c r="L252" s="16">
        <v>213</v>
      </c>
      <c r="M252" s="16">
        <v>182</v>
      </c>
      <c r="N252" s="13">
        <f>SUM(B252:M252)/12</f>
        <v>227.91666666666666</v>
      </c>
    </row>
    <row r="253" spans="1:14" ht="12.75">
      <c r="A253" s="15" t="s">
        <v>266</v>
      </c>
      <c r="B253" s="16">
        <v>174</v>
      </c>
      <c r="C253" s="16">
        <v>189</v>
      </c>
      <c r="D253" s="16">
        <v>147</v>
      </c>
      <c r="E253" s="16">
        <v>191</v>
      </c>
      <c r="F253" s="16">
        <v>212</v>
      </c>
      <c r="G253" s="16">
        <v>202</v>
      </c>
      <c r="H253" s="16">
        <v>203</v>
      </c>
      <c r="I253" s="16">
        <v>217</v>
      </c>
      <c r="J253" s="16">
        <v>191</v>
      </c>
      <c r="K253" s="16">
        <v>294</v>
      </c>
      <c r="L253" s="16">
        <v>234</v>
      </c>
      <c r="M253" s="16">
        <v>226</v>
      </c>
      <c r="N253" s="13">
        <f>SUM(B253:M253)/12</f>
        <v>206.66666666666666</v>
      </c>
    </row>
    <row r="254" spans="1:14" ht="12.75">
      <c r="A254" s="15" t="s">
        <v>267</v>
      </c>
      <c r="B254" s="16">
        <v>170</v>
      </c>
      <c r="C254" s="16">
        <v>174</v>
      </c>
      <c r="D254" s="16">
        <v>190</v>
      </c>
      <c r="E254" s="16">
        <v>208</v>
      </c>
      <c r="F254" s="16">
        <v>233</v>
      </c>
      <c r="G254" s="16">
        <v>183</v>
      </c>
      <c r="H254" s="16">
        <v>178</v>
      </c>
      <c r="I254" s="16">
        <v>207</v>
      </c>
      <c r="J254" s="16">
        <v>193</v>
      </c>
      <c r="K254" s="16">
        <v>206</v>
      </c>
      <c r="L254" s="16">
        <v>190</v>
      </c>
      <c r="M254" s="16">
        <v>107</v>
      </c>
      <c r="N254" s="13">
        <f>SUM(B254:M254)/12</f>
        <v>186.58333333333334</v>
      </c>
    </row>
    <row r="255" spans="1:14" ht="12.75" hidden="1">
      <c r="A255" s="15" t="s">
        <v>264</v>
      </c>
      <c r="B255" s="8">
        <v>82</v>
      </c>
      <c r="C255" s="8">
        <v>73</v>
      </c>
      <c r="D255" s="8">
        <v>98</v>
      </c>
      <c r="E255" s="8">
        <v>95</v>
      </c>
      <c r="F255" s="8">
        <v>106</v>
      </c>
      <c r="G255" s="8">
        <v>42</v>
      </c>
      <c r="H255" s="8">
        <v>90</v>
      </c>
      <c r="I255" s="8">
        <v>118</v>
      </c>
      <c r="J255" s="8">
        <v>97</v>
      </c>
      <c r="K255" s="8">
        <v>115</v>
      </c>
      <c r="L255" s="8">
        <v>104</v>
      </c>
      <c r="M255" s="8">
        <v>85</v>
      </c>
      <c r="N255" s="13">
        <f aca="true" t="shared" si="29" ref="N255:N260">SUM(B255:M255)/12</f>
        <v>92.08333333333333</v>
      </c>
    </row>
    <row r="256" spans="1:14" ht="12.75">
      <c r="A256" s="15" t="s">
        <v>268</v>
      </c>
      <c r="B256" s="16">
        <v>155</v>
      </c>
      <c r="C256" s="16">
        <v>184</v>
      </c>
      <c r="D256" s="16">
        <v>206</v>
      </c>
      <c r="E256" s="16">
        <v>176</v>
      </c>
      <c r="F256" s="16">
        <v>196</v>
      </c>
      <c r="G256" s="16">
        <v>156</v>
      </c>
      <c r="H256" s="16">
        <v>167</v>
      </c>
      <c r="I256" s="16">
        <v>218</v>
      </c>
      <c r="J256" s="16">
        <v>181</v>
      </c>
      <c r="K256" s="16">
        <v>241</v>
      </c>
      <c r="L256" s="16">
        <v>212</v>
      </c>
      <c r="M256" s="16">
        <v>138</v>
      </c>
      <c r="N256" s="13">
        <f t="shared" si="29"/>
        <v>185.83333333333334</v>
      </c>
    </row>
    <row r="257" spans="1:14" ht="12.75" hidden="1">
      <c r="A257" s="15" t="s">
        <v>265</v>
      </c>
      <c r="B257" s="8">
        <v>82</v>
      </c>
      <c r="C257" s="8">
        <v>73</v>
      </c>
      <c r="D257" s="8">
        <v>98</v>
      </c>
      <c r="E257" s="8">
        <v>95</v>
      </c>
      <c r="F257" s="8">
        <v>106</v>
      </c>
      <c r="G257" s="8">
        <v>42</v>
      </c>
      <c r="H257" s="8">
        <v>90</v>
      </c>
      <c r="I257" s="8">
        <v>118</v>
      </c>
      <c r="J257" s="8">
        <v>97</v>
      </c>
      <c r="K257" s="8">
        <v>115</v>
      </c>
      <c r="L257" s="8">
        <v>104</v>
      </c>
      <c r="M257" s="8">
        <v>85</v>
      </c>
      <c r="N257" s="13">
        <f t="shared" si="29"/>
        <v>92.08333333333333</v>
      </c>
    </row>
    <row r="258" spans="1:14" ht="12.75" hidden="1">
      <c r="A258" s="15" t="s">
        <v>269</v>
      </c>
      <c r="B258" s="16">
        <v>243</v>
      </c>
      <c r="C258" s="16">
        <v>214</v>
      </c>
      <c r="D258" s="16">
        <v>246</v>
      </c>
      <c r="E258" s="16">
        <v>204</v>
      </c>
      <c r="F258" s="16">
        <v>214</v>
      </c>
      <c r="G258" s="16">
        <v>297</v>
      </c>
      <c r="H258" s="16">
        <v>253</v>
      </c>
      <c r="I258" s="16">
        <v>313</v>
      </c>
      <c r="J258" s="16">
        <v>255</v>
      </c>
      <c r="K258" s="16">
        <v>212</v>
      </c>
      <c r="L258" s="16">
        <v>208</v>
      </c>
      <c r="M258" s="16">
        <v>191</v>
      </c>
      <c r="N258" s="13">
        <f t="shared" si="29"/>
        <v>237.5</v>
      </c>
    </row>
    <row r="259" spans="1:14" ht="12.75" hidden="1">
      <c r="A259" t="s">
        <v>170</v>
      </c>
      <c r="B259" s="8">
        <v>133</v>
      </c>
      <c r="C259" s="8">
        <v>221</v>
      </c>
      <c r="D259" s="8">
        <v>116</v>
      </c>
      <c r="E259" s="8">
        <v>244</v>
      </c>
      <c r="F259" s="8">
        <v>197</v>
      </c>
      <c r="G259" s="8">
        <v>158</v>
      </c>
      <c r="H259" s="8">
        <v>134</v>
      </c>
      <c r="I259" s="8">
        <v>156</v>
      </c>
      <c r="J259" s="8">
        <v>266</v>
      </c>
      <c r="K259" s="8">
        <v>251</v>
      </c>
      <c r="L259" s="8">
        <v>180</v>
      </c>
      <c r="M259" s="8">
        <v>189</v>
      </c>
      <c r="N259" s="13">
        <f t="shared" si="29"/>
        <v>187.08333333333334</v>
      </c>
    </row>
    <row r="260" spans="1:14" ht="12.75" hidden="1">
      <c r="A260" t="s">
        <v>171</v>
      </c>
      <c r="B260" s="8">
        <v>273</v>
      </c>
      <c r="C260" s="8">
        <v>198</v>
      </c>
      <c r="D260" s="8">
        <v>174</v>
      </c>
      <c r="E260" s="8">
        <v>270</v>
      </c>
      <c r="F260" s="8">
        <v>204</v>
      </c>
      <c r="G260" s="8">
        <v>281</v>
      </c>
      <c r="H260" s="8">
        <v>128</v>
      </c>
      <c r="I260" s="8">
        <v>310</v>
      </c>
      <c r="J260" s="8">
        <v>188</v>
      </c>
      <c r="K260" s="8">
        <v>281</v>
      </c>
      <c r="L260" s="8">
        <v>200</v>
      </c>
      <c r="M260" s="8">
        <v>220</v>
      </c>
      <c r="N260" s="13">
        <f t="shared" si="29"/>
        <v>227.25</v>
      </c>
    </row>
    <row r="261" spans="1:13" ht="12.75" hidden="1">
      <c r="A261" t="s">
        <v>10</v>
      </c>
      <c r="B261" s="8">
        <v>131</v>
      </c>
      <c r="C261" s="8">
        <v>99</v>
      </c>
      <c r="D261" s="8">
        <v>111</v>
      </c>
      <c r="E261" s="8">
        <v>83</v>
      </c>
      <c r="F261" s="8">
        <v>103</v>
      </c>
      <c r="G261" s="8">
        <v>89</v>
      </c>
      <c r="H261" s="8">
        <v>85</v>
      </c>
      <c r="I261" s="8">
        <v>106</v>
      </c>
      <c r="J261" s="8">
        <v>116</v>
      </c>
      <c r="K261" s="8">
        <v>85</v>
      </c>
      <c r="L261" s="8">
        <v>114</v>
      </c>
      <c r="M261" s="8">
        <v>101</v>
      </c>
    </row>
    <row r="262" spans="2:14" ht="12.75" hidden="1">
      <c r="B262" s="7" t="s">
        <v>77</v>
      </c>
      <c r="C262" s="7" t="s">
        <v>78</v>
      </c>
      <c r="D262" s="7" t="s">
        <v>79</v>
      </c>
      <c r="E262" s="7" t="s">
        <v>80</v>
      </c>
      <c r="F262" s="7" t="s">
        <v>81</v>
      </c>
      <c r="G262" s="7" t="s">
        <v>82</v>
      </c>
      <c r="H262" s="7" t="s">
        <v>83</v>
      </c>
      <c r="I262" s="7" t="s">
        <v>84</v>
      </c>
      <c r="J262" s="7" t="s">
        <v>85</v>
      </c>
      <c r="K262" s="7" t="s">
        <v>86</v>
      </c>
      <c r="L262" s="7" t="s">
        <v>87</v>
      </c>
      <c r="M262" s="7" t="s">
        <v>88</v>
      </c>
      <c r="N262" s="6" t="s">
        <v>119</v>
      </c>
    </row>
    <row r="263" spans="1:14" ht="12.75" hidden="1">
      <c r="A263" t="s">
        <v>166</v>
      </c>
      <c r="B263" s="8">
        <v>224</v>
      </c>
      <c r="C263" s="8">
        <v>164</v>
      </c>
      <c r="D263" s="8">
        <v>167</v>
      </c>
      <c r="E263" s="8">
        <v>167</v>
      </c>
      <c r="F263" s="8">
        <v>200</v>
      </c>
      <c r="G263" s="8">
        <v>180</v>
      </c>
      <c r="H263" s="8">
        <v>164</v>
      </c>
      <c r="I263" s="8">
        <v>172</v>
      </c>
      <c r="J263" s="8">
        <v>147</v>
      </c>
      <c r="K263" s="8">
        <v>160</v>
      </c>
      <c r="L263" s="8">
        <v>159</v>
      </c>
      <c r="M263" s="8">
        <v>185</v>
      </c>
      <c r="N263" s="13">
        <f>SUM(B263:M263)/Q$1</f>
        <v>696.3333333333334</v>
      </c>
    </row>
    <row r="264" spans="1:14" ht="12.75" hidden="1">
      <c r="A264" t="s">
        <v>165</v>
      </c>
      <c r="B264" s="8">
        <v>301</v>
      </c>
      <c r="C264" s="8">
        <v>354</v>
      </c>
      <c r="D264" s="8">
        <v>341</v>
      </c>
      <c r="E264" s="8">
        <v>227</v>
      </c>
      <c r="F264" s="8">
        <v>209</v>
      </c>
      <c r="G264" s="8">
        <v>198</v>
      </c>
      <c r="H264" s="8">
        <v>184</v>
      </c>
      <c r="I264" s="8">
        <v>273</v>
      </c>
      <c r="J264" s="8">
        <v>237</v>
      </c>
      <c r="K264" s="8">
        <v>235</v>
      </c>
      <c r="L264" s="8">
        <v>184</v>
      </c>
      <c r="M264" s="8">
        <v>180</v>
      </c>
      <c r="N264" s="13">
        <f>SUM(B264:M264)/12</f>
        <v>243.58333333333334</v>
      </c>
    </row>
    <row r="265" spans="1:14" ht="12.75" hidden="1">
      <c r="A265" t="s">
        <v>159</v>
      </c>
      <c r="B265" s="8">
        <v>261</v>
      </c>
      <c r="C265" s="8">
        <v>235</v>
      </c>
      <c r="D265" s="8">
        <v>235</v>
      </c>
      <c r="E265" s="8">
        <v>152</v>
      </c>
      <c r="F265" s="8">
        <v>180</v>
      </c>
      <c r="G265" s="8">
        <v>208</v>
      </c>
      <c r="H265" s="8">
        <v>174</v>
      </c>
      <c r="I265" s="8">
        <v>220</v>
      </c>
      <c r="J265" s="8">
        <v>201</v>
      </c>
      <c r="K265" s="8">
        <v>224</v>
      </c>
      <c r="L265" s="8">
        <v>183</v>
      </c>
      <c r="M265" s="8">
        <v>170</v>
      </c>
      <c r="N265" s="13">
        <f>SUM(B265:M265)/12</f>
        <v>203.58333333333334</v>
      </c>
    </row>
    <row r="266" spans="1:14" ht="12.75" hidden="1">
      <c r="A266" t="s">
        <v>137</v>
      </c>
      <c r="B266" s="8">
        <v>301</v>
      </c>
      <c r="C266" s="8">
        <v>354</v>
      </c>
      <c r="D266" s="8">
        <v>341</v>
      </c>
      <c r="E266" s="8">
        <v>227</v>
      </c>
      <c r="F266" s="8">
        <v>209</v>
      </c>
      <c r="G266" s="8">
        <v>197</v>
      </c>
      <c r="H266" s="8">
        <v>184</v>
      </c>
      <c r="I266" s="8">
        <v>273</v>
      </c>
      <c r="J266" s="8">
        <v>237</v>
      </c>
      <c r="K266" s="8">
        <v>235</v>
      </c>
      <c r="L266" s="8">
        <v>184</v>
      </c>
      <c r="M266" s="8">
        <v>283</v>
      </c>
      <c r="N266" s="13">
        <v>252.08333333333334</v>
      </c>
    </row>
    <row r="267" spans="1:14" ht="12.75" hidden="1">
      <c r="A267" t="s">
        <v>112</v>
      </c>
      <c r="B267" s="8">
        <v>405</v>
      </c>
      <c r="C267" s="8">
        <v>416</v>
      </c>
      <c r="D267" s="8">
        <v>384</v>
      </c>
      <c r="E267" s="8">
        <v>325</v>
      </c>
      <c r="F267" s="8">
        <v>343</v>
      </c>
      <c r="G267" s="8">
        <v>359</v>
      </c>
      <c r="H267" s="8">
        <v>385</v>
      </c>
      <c r="I267" s="8">
        <v>323</v>
      </c>
      <c r="J267" s="8">
        <v>278</v>
      </c>
      <c r="K267" s="8">
        <v>275</v>
      </c>
      <c r="L267" s="8">
        <v>287</v>
      </c>
      <c r="M267" s="8">
        <v>287</v>
      </c>
      <c r="N267" s="13">
        <v>338.9166666666667</v>
      </c>
    </row>
    <row r="268" spans="1:14" ht="12.75" hidden="1">
      <c r="A268" t="s">
        <v>64</v>
      </c>
      <c r="B268" s="9">
        <f>324+9</f>
        <v>333</v>
      </c>
      <c r="C268" s="9">
        <v>320</v>
      </c>
      <c r="D268" s="9">
        <v>366</v>
      </c>
      <c r="E268" s="9">
        <f>237+5</f>
        <v>242</v>
      </c>
      <c r="F268" s="9">
        <v>348</v>
      </c>
      <c r="G268" s="9">
        <v>310</v>
      </c>
      <c r="H268" s="9">
        <v>350</v>
      </c>
      <c r="I268" s="9">
        <v>363</v>
      </c>
      <c r="J268" s="9">
        <f>399+25</f>
        <v>424</v>
      </c>
      <c r="K268" s="9">
        <v>339</v>
      </c>
      <c r="L268" s="9">
        <v>286</v>
      </c>
      <c r="M268" s="9">
        <v>306</v>
      </c>
      <c r="N268" s="13">
        <v>332.25</v>
      </c>
    </row>
    <row r="269" spans="1:14" ht="12.75" hidden="1">
      <c r="A269" t="s">
        <v>53</v>
      </c>
      <c r="B269" s="8">
        <v>432</v>
      </c>
      <c r="C269" s="8">
        <v>455</v>
      </c>
      <c r="D269" s="8">
        <v>287</v>
      </c>
      <c r="E269" s="8">
        <f>306+18</f>
        <v>324</v>
      </c>
      <c r="F269" s="8">
        <f>247+11</f>
        <v>258</v>
      </c>
      <c r="G269" s="8">
        <v>227</v>
      </c>
      <c r="H269" s="8">
        <v>318</v>
      </c>
      <c r="I269" s="8">
        <v>306</v>
      </c>
      <c r="J269" s="8">
        <f>339+25</f>
        <v>364</v>
      </c>
      <c r="K269" s="8">
        <f>336+14</f>
        <v>350</v>
      </c>
      <c r="L269" s="8">
        <v>325</v>
      </c>
      <c r="M269" s="8">
        <f>247+17</f>
        <v>264</v>
      </c>
      <c r="N269" s="13">
        <v>325.8333333333333</v>
      </c>
    </row>
    <row r="270" spans="1:13" ht="12.75" hidden="1">
      <c r="A270" t="s">
        <v>9</v>
      </c>
      <c r="B270" s="8">
        <v>443</v>
      </c>
      <c r="C270" s="8">
        <v>346</v>
      </c>
      <c r="D270" s="8">
        <v>316</v>
      </c>
      <c r="E270" s="8">
        <f>239+49</f>
        <v>288</v>
      </c>
      <c r="F270" s="8">
        <f>269+28</f>
        <v>297</v>
      </c>
      <c r="G270" s="8">
        <f>236+29</f>
        <v>265</v>
      </c>
      <c r="H270" s="8">
        <f>230+15</f>
        <v>245</v>
      </c>
      <c r="I270" s="8">
        <f>287+37</f>
        <v>324</v>
      </c>
      <c r="J270" s="8">
        <f>331+33</f>
        <v>364</v>
      </c>
      <c r="K270" s="8">
        <f>255+21</f>
        <v>276</v>
      </c>
      <c r="L270" s="8">
        <f>332+15</f>
        <v>347</v>
      </c>
      <c r="M270" s="8">
        <f>265+51</f>
        <v>316</v>
      </c>
    </row>
    <row r="271" spans="2:14" ht="12.75" hidden="1">
      <c r="B271" s="7" t="s">
        <v>77</v>
      </c>
      <c r="C271" s="7" t="s">
        <v>78</v>
      </c>
      <c r="D271" s="7" t="s">
        <v>79</v>
      </c>
      <c r="E271" s="7" t="s">
        <v>80</v>
      </c>
      <c r="F271" s="7" t="s">
        <v>81</v>
      </c>
      <c r="G271" s="7" t="s">
        <v>82</v>
      </c>
      <c r="H271" s="7" t="s">
        <v>83</v>
      </c>
      <c r="I271" s="7" t="s">
        <v>84</v>
      </c>
      <c r="J271" s="7" t="s">
        <v>85</v>
      </c>
      <c r="K271" s="7" t="s">
        <v>86</v>
      </c>
      <c r="L271" s="7" t="s">
        <v>87</v>
      </c>
      <c r="M271" s="7" t="s">
        <v>88</v>
      </c>
      <c r="N271" s="6" t="s">
        <v>119</v>
      </c>
    </row>
    <row r="272" spans="1:14" ht="12.75" hidden="1">
      <c r="A272" t="s">
        <v>160</v>
      </c>
      <c r="B272" s="8">
        <v>8.42</v>
      </c>
      <c r="C272" s="8">
        <v>8.1</v>
      </c>
      <c r="D272" s="8">
        <v>7.58</v>
      </c>
      <c r="E272" s="8">
        <v>5.07</v>
      </c>
      <c r="F272" s="8">
        <v>5.81</v>
      </c>
      <c r="G272" s="8">
        <v>6.93</v>
      </c>
      <c r="H272" s="8">
        <v>5.61</v>
      </c>
      <c r="I272" s="8">
        <v>7.1</v>
      </c>
      <c r="J272" s="8">
        <v>6.7</v>
      </c>
      <c r="K272" s="8">
        <v>7.23</v>
      </c>
      <c r="L272" s="8">
        <v>6.1</v>
      </c>
      <c r="M272" s="8">
        <v>5.48</v>
      </c>
      <c r="N272" s="13">
        <f>SUM(B272:M272)/+Q$1</f>
        <v>26.710000000000004</v>
      </c>
    </row>
    <row r="273" spans="1:14" ht="12.75" hidden="1">
      <c r="A273" t="s">
        <v>161</v>
      </c>
      <c r="B273" s="8">
        <v>9.7</v>
      </c>
      <c r="C273" s="8">
        <v>12.2</v>
      </c>
      <c r="D273" s="8">
        <v>11</v>
      </c>
      <c r="E273" s="8">
        <v>7.56</v>
      </c>
      <c r="F273" s="8">
        <v>6.74</v>
      </c>
      <c r="G273" s="8">
        <v>6.56</v>
      </c>
      <c r="H273" s="8">
        <v>5.93</v>
      </c>
      <c r="I273" s="8">
        <v>8.8</v>
      </c>
      <c r="J273" s="8">
        <v>7.9</v>
      </c>
      <c r="K273" s="8">
        <v>7.58</v>
      </c>
      <c r="L273" s="8">
        <v>6.13</v>
      </c>
      <c r="M273" s="8">
        <v>9.12</v>
      </c>
      <c r="N273" s="13">
        <v>8.26</v>
      </c>
    </row>
    <row r="274" spans="1:14" ht="12.75" hidden="1">
      <c r="A274" t="s">
        <v>138</v>
      </c>
      <c r="B274" s="8">
        <v>9.71</v>
      </c>
      <c r="C274" s="8">
        <v>12.64</v>
      </c>
      <c r="D274" s="8">
        <v>11</v>
      </c>
      <c r="E274" s="8">
        <v>7.57</v>
      </c>
      <c r="F274" s="8">
        <v>6.74</v>
      </c>
      <c r="G274" s="8">
        <v>6.57</v>
      </c>
      <c r="H274" s="8">
        <v>5.94</v>
      </c>
      <c r="I274" s="8">
        <v>8.81</v>
      </c>
      <c r="J274" s="8">
        <v>7.9</v>
      </c>
      <c r="K274" s="8">
        <v>7.58</v>
      </c>
      <c r="L274" s="8">
        <v>6.13</v>
      </c>
      <c r="M274" s="8">
        <v>9.13</v>
      </c>
      <c r="N274" s="13">
        <v>8.31</v>
      </c>
    </row>
    <row r="275" spans="1:14" ht="12.75" hidden="1">
      <c r="A275" t="s">
        <v>113</v>
      </c>
      <c r="B275" s="8">
        <v>13.064516129032258</v>
      </c>
      <c r="C275" s="8">
        <v>14.86</v>
      </c>
      <c r="D275" s="8">
        <v>12.38</v>
      </c>
      <c r="E275" s="8">
        <v>10.83</v>
      </c>
      <c r="F275" s="8">
        <v>11.06</v>
      </c>
      <c r="G275" s="8">
        <v>11.97</v>
      </c>
      <c r="H275" s="8">
        <v>12.42</v>
      </c>
      <c r="I275" s="8">
        <v>10.42</v>
      </c>
      <c r="J275" s="8">
        <v>9.27</v>
      </c>
      <c r="K275" s="8">
        <v>8.87</v>
      </c>
      <c r="L275" s="8">
        <v>9.57</v>
      </c>
      <c r="M275" s="8">
        <v>9.26</v>
      </c>
      <c r="N275" s="13">
        <v>11.164543010752688</v>
      </c>
    </row>
    <row r="276" spans="1:14" ht="12.75" hidden="1">
      <c r="A276" t="s">
        <v>63</v>
      </c>
      <c r="B276" s="9">
        <f>10.45+0.29</f>
        <v>10.739999999999998</v>
      </c>
      <c r="C276" s="9">
        <f>11.39+0.04</f>
        <v>11.43</v>
      </c>
      <c r="D276" s="9">
        <v>11.8</v>
      </c>
      <c r="E276" s="9">
        <v>8.1</v>
      </c>
      <c r="F276" s="9">
        <v>11.2</v>
      </c>
      <c r="G276" s="9">
        <f>9.4+0.9</f>
        <v>10.3</v>
      </c>
      <c r="H276" s="9">
        <v>11</v>
      </c>
      <c r="I276" s="9">
        <v>12</v>
      </c>
      <c r="J276" s="9">
        <f>13.3+0.83</f>
        <v>14.13</v>
      </c>
      <c r="K276" s="9">
        <v>11</v>
      </c>
      <c r="L276" s="9">
        <f>9.5+0.8</f>
        <v>10.3</v>
      </c>
      <c r="M276" s="9">
        <v>10</v>
      </c>
      <c r="N276" s="13">
        <v>11</v>
      </c>
    </row>
    <row r="277" spans="1:14" ht="12.75" hidden="1">
      <c r="A277" t="s">
        <v>8</v>
      </c>
      <c r="B277" s="8">
        <v>13.94</v>
      </c>
      <c r="C277" s="8">
        <v>15.69</v>
      </c>
      <c r="D277" s="8">
        <v>10.1</v>
      </c>
      <c r="E277" s="8">
        <f>10.2+0.6</f>
        <v>10.799999999999999</v>
      </c>
      <c r="F277" s="8">
        <f>7.97+0.35</f>
        <v>8.32</v>
      </c>
      <c r="G277" s="8">
        <v>7.57</v>
      </c>
      <c r="H277" s="8">
        <v>10.26</v>
      </c>
      <c r="I277" s="8">
        <v>10</v>
      </c>
      <c r="J277" s="8">
        <f>11.3+0.83</f>
        <v>12.13</v>
      </c>
      <c r="K277" s="8">
        <v>11</v>
      </c>
      <c r="L277" s="8">
        <v>11.53</v>
      </c>
      <c r="M277" s="8">
        <f>7.97+0.55</f>
        <v>8.52</v>
      </c>
      <c r="N277" s="13">
        <v>10.821666666666665</v>
      </c>
    </row>
    <row r="278" spans="1:14" ht="12.75" hidden="1">
      <c r="A278" t="s">
        <v>7</v>
      </c>
      <c r="B278" s="8">
        <f>10.4+0.8</f>
        <v>11.200000000000001</v>
      </c>
      <c r="C278" s="8">
        <f>12.6+0.7</f>
        <v>13.299999999999999</v>
      </c>
      <c r="D278" s="8">
        <f>11.9+0.9</f>
        <v>12.8</v>
      </c>
      <c r="E278" s="8">
        <v>10.4</v>
      </c>
      <c r="F278" s="8">
        <f>9+1.2</f>
        <v>10.2</v>
      </c>
      <c r="G278" s="8">
        <f>8.87+0.7</f>
        <v>9.569999999999999</v>
      </c>
      <c r="H278" s="8">
        <f>10+1</f>
        <v>11</v>
      </c>
      <c r="I278" s="8">
        <f>9.97+0.65</f>
        <v>10.620000000000001</v>
      </c>
      <c r="J278" s="8">
        <f>10+1</f>
        <v>11</v>
      </c>
      <c r="K278" s="8">
        <f>9.42+0.68</f>
        <v>10.1</v>
      </c>
      <c r="L278" s="8">
        <f>9.4+1.3</f>
        <v>10.700000000000001</v>
      </c>
      <c r="M278" s="8">
        <f>13.1+0.71</f>
        <v>13.809999999999999</v>
      </c>
      <c r="N278" s="13">
        <v>11.225</v>
      </c>
    </row>
    <row r="279" spans="1:13" ht="12.75" hidden="1">
      <c r="A279" t="s">
        <v>6</v>
      </c>
      <c r="B279" s="8">
        <f>14.1+0.2</f>
        <v>14.299999999999999</v>
      </c>
      <c r="C279" s="8">
        <v>12.4</v>
      </c>
      <c r="D279" s="8">
        <v>10.2</v>
      </c>
      <c r="E279" s="8">
        <v>9.6</v>
      </c>
      <c r="F279" s="8">
        <f>8.7+0.9</f>
        <v>9.6</v>
      </c>
      <c r="G279" s="8">
        <f>7.9+1</f>
        <v>8.9</v>
      </c>
      <c r="H279" s="8">
        <v>7.9</v>
      </c>
      <c r="I279" s="8">
        <f>9.3+1.2</f>
        <v>10.5</v>
      </c>
      <c r="J279" s="8">
        <f>10.7+1.1</f>
        <v>11.799999999999999</v>
      </c>
      <c r="K279" s="8">
        <f>8.5+0.7</f>
        <v>9.2</v>
      </c>
      <c r="L279" s="8">
        <f>10.7+0.5</f>
        <v>11.2</v>
      </c>
      <c r="M279" s="8">
        <f>8.8+1.7</f>
        <v>10.5</v>
      </c>
    </row>
    <row r="280" spans="2:13" ht="12.75" hidden="1">
      <c r="B280" s="7" t="s">
        <v>77</v>
      </c>
      <c r="C280" s="7" t="s">
        <v>78</v>
      </c>
      <c r="D280" s="7" t="s">
        <v>79</v>
      </c>
      <c r="E280" s="7" t="s">
        <v>80</v>
      </c>
      <c r="F280" s="7" t="s">
        <v>81</v>
      </c>
      <c r="G280" s="7" t="s">
        <v>82</v>
      </c>
      <c r="H280" s="7" t="s">
        <v>83</v>
      </c>
      <c r="I280" s="7" t="s">
        <v>84</v>
      </c>
      <c r="J280" s="7" t="s">
        <v>85</v>
      </c>
      <c r="K280" s="7" t="s">
        <v>86</v>
      </c>
      <c r="L280" s="7" t="s">
        <v>87</v>
      </c>
      <c r="M280" s="7" t="s">
        <v>88</v>
      </c>
    </row>
    <row r="281" spans="1:13" ht="12.75" hidden="1">
      <c r="A281" t="s">
        <v>34</v>
      </c>
      <c r="B281" s="11">
        <v>1.668</v>
      </c>
      <c r="C281" s="11">
        <v>1.585</v>
      </c>
      <c r="D281" s="11">
        <v>1.73</v>
      </c>
      <c r="E281" s="11">
        <v>1.894</v>
      </c>
      <c r="F281" s="11">
        <v>0</v>
      </c>
      <c r="G281" s="11">
        <v>0</v>
      </c>
      <c r="H281" s="11">
        <v>1911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</row>
    <row r="282" spans="1:13" ht="12.75" hidden="1">
      <c r="A282" t="s">
        <v>54</v>
      </c>
      <c r="B282" s="11">
        <v>0.8786</v>
      </c>
      <c r="C282" s="11">
        <v>0.9295</v>
      </c>
      <c r="D282" s="11">
        <v>0.8771</v>
      </c>
      <c r="E282" s="11">
        <v>0.9198</v>
      </c>
      <c r="F282" s="11">
        <v>0</v>
      </c>
      <c r="G282" s="11">
        <v>0</v>
      </c>
      <c r="H282" s="11">
        <v>0.83</v>
      </c>
      <c r="I282" s="11">
        <v>0.9902</v>
      </c>
      <c r="J282" s="11">
        <v>0.8709</v>
      </c>
      <c r="K282" s="11">
        <v>0</v>
      </c>
      <c r="L282" s="11">
        <v>0</v>
      </c>
      <c r="M282" s="11">
        <v>0</v>
      </c>
    </row>
    <row r="283" spans="1:13" ht="12.75" hidden="1">
      <c r="A283" t="s">
        <v>55</v>
      </c>
      <c r="B283" s="11">
        <v>3.63</v>
      </c>
      <c r="C283" s="11">
        <v>3.61</v>
      </c>
      <c r="D283" s="11">
        <v>3.23</v>
      </c>
      <c r="E283" s="11">
        <v>3.12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</row>
    <row r="284" spans="2:14" ht="12.75">
      <c r="B284" s="7" t="s">
        <v>77</v>
      </c>
      <c r="C284" s="7" t="s">
        <v>78</v>
      </c>
      <c r="D284" s="7" t="s">
        <v>79</v>
      </c>
      <c r="E284" s="7" t="s">
        <v>80</v>
      </c>
      <c r="F284" s="7" t="s">
        <v>81</v>
      </c>
      <c r="G284" s="7" t="s">
        <v>82</v>
      </c>
      <c r="H284" s="7" t="s">
        <v>83</v>
      </c>
      <c r="I284" s="7" t="s">
        <v>84</v>
      </c>
      <c r="J284" s="7" t="s">
        <v>85</v>
      </c>
      <c r="K284" s="7" t="s">
        <v>86</v>
      </c>
      <c r="L284" s="7" t="s">
        <v>87</v>
      </c>
      <c r="M284" s="7" t="s">
        <v>88</v>
      </c>
      <c r="N284" s="6" t="s">
        <v>119</v>
      </c>
    </row>
    <row r="285" spans="1:14" ht="12.75">
      <c r="A285" s="15" t="s">
        <v>296</v>
      </c>
      <c r="B285" s="16">
        <f aca="true" t="shared" si="30" ref="B285:M285">+B137</f>
        <v>347</v>
      </c>
      <c r="C285" s="16">
        <f t="shared" si="30"/>
        <v>227</v>
      </c>
      <c r="D285" s="16">
        <f t="shared" si="30"/>
        <v>470</v>
      </c>
      <c r="E285" s="16">
        <f t="shared" si="30"/>
        <v>0</v>
      </c>
      <c r="F285" s="16">
        <f t="shared" si="30"/>
        <v>0</v>
      </c>
      <c r="G285" s="16">
        <f t="shared" si="30"/>
        <v>0</v>
      </c>
      <c r="H285" s="16">
        <f t="shared" si="30"/>
        <v>0</v>
      </c>
      <c r="I285" s="16">
        <f t="shared" si="30"/>
        <v>0</v>
      </c>
      <c r="J285" s="16">
        <f t="shared" si="30"/>
        <v>0</v>
      </c>
      <c r="K285" s="16">
        <f t="shared" si="30"/>
        <v>0</v>
      </c>
      <c r="L285" s="16">
        <f t="shared" si="30"/>
        <v>0</v>
      </c>
      <c r="M285" s="16">
        <f t="shared" si="30"/>
        <v>0</v>
      </c>
      <c r="N285" s="13">
        <f>SUM(B285:M285)/Q$1</f>
        <v>348</v>
      </c>
    </row>
    <row r="286" spans="1:14" ht="12.75">
      <c r="A286" s="15" t="s">
        <v>314</v>
      </c>
      <c r="B286" s="16">
        <v>376</v>
      </c>
      <c r="C286" s="16">
        <v>437</v>
      </c>
      <c r="D286" s="16">
        <v>571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3">
        <f>SUM(B286:M286)/Q$1</f>
        <v>461.3333333333333</v>
      </c>
    </row>
    <row r="287" spans="1:14" ht="12.75">
      <c r="A287" s="15" t="s">
        <v>315</v>
      </c>
      <c r="B287" s="16">
        <f aca="true" t="shared" si="31" ref="B287:M287">+B138</f>
        <v>278</v>
      </c>
      <c r="C287" s="16">
        <f t="shared" si="31"/>
        <v>440</v>
      </c>
      <c r="D287" s="16">
        <f t="shared" si="31"/>
        <v>329</v>
      </c>
      <c r="E287" s="16">
        <f t="shared" si="31"/>
        <v>0</v>
      </c>
      <c r="F287" s="16">
        <f t="shared" si="31"/>
        <v>0</v>
      </c>
      <c r="G287" s="16">
        <f t="shared" si="31"/>
        <v>0</v>
      </c>
      <c r="H287" s="16">
        <f t="shared" si="31"/>
        <v>0</v>
      </c>
      <c r="I287" s="16">
        <f t="shared" si="31"/>
        <v>0</v>
      </c>
      <c r="J287" s="16">
        <f t="shared" si="31"/>
        <v>0</v>
      </c>
      <c r="K287" s="16">
        <f t="shared" si="31"/>
        <v>0</v>
      </c>
      <c r="L287" s="16">
        <f t="shared" si="31"/>
        <v>0</v>
      </c>
      <c r="M287" s="16">
        <f t="shared" si="31"/>
        <v>0</v>
      </c>
      <c r="N287" s="13">
        <f aca="true" t="shared" si="32" ref="N287:N294">SUM(B287:M287)/12</f>
        <v>87.25</v>
      </c>
    </row>
    <row r="288" spans="1:14" ht="12.75">
      <c r="A288" s="15" t="s">
        <v>316</v>
      </c>
      <c r="B288" s="16">
        <v>532</v>
      </c>
      <c r="C288" s="16">
        <v>376</v>
      </c>
      <c r="D288" s="16">
        <v>500</v>
      </c>
      <c r="E288" s="16">
        <v>565</v>
      </c>
      <c r="F288" s="16">
        <v>665</v>
      </c>
      <c r="G288" s="16">
        <v>500</v>
      </c>
      <c r="H288" s="16">
        <v>400</v>
      </c>
      <c r="I288" s="16">
        <v>425</v>
      </c>
      <c r="J288" s="16">
        <v>603</v>
      </c>
      <c r="K288" s="16">
        <v>567</v>
      </c>
      <c r="L288" s="16">
        <v>546</v>
      </c>
      <c r="M288" s="16">
        <v>574</v>
      </c>
      <c r="N288" s="13">
        <f t="shared" si="32"/>
        <v>521.0833333333334</v>
      </c>
    </row>
    <row r="289" spans="1:14" ht="12.75">
      <c r="A289" s="15" t="s">
        <v>257</v>
      </c>
      <c r="B289" s="16">
        <f aca="true" t="shared" si="33" ref="B289:M289">+B141</f>
        <v>524</v>
      </c>
      <c r="C289" s="16">
        <f t="shared" si="33"/>
        <v>-107</v>
      </c>
      <c r="D289" s="16">
        <f t="shared" si="33"/>
        <v>1068</v>
      </c>
      <c r="E289" s="16">
        <f t="shared" si="33"/>
        <v>405</v>
      </c>
      <c r="F289" s="16">
        <f t="shared" si="33"/>
        <v>1120</v>
      </c>
      <c r="G289" s="16">
        <f t="shared" si="33"/>
        <v>1818</v>
      </c>
      <c r="H289" s="16">
        <f t="shared" si="33"/>
        <v>501</v>
      </c>
      <c r="I289" s="16">
        <f t="shared" si="33"/>
        <v>217</v>
      </c>
      <c r="J289" s="16">
        <f t="shared" si="33"/>
        <v>532</v>
      </c>
      <c r="K289" s="16">
        <f t="shared" si="33"/>
        <v>517</v>
      </c>
      <c r="L289" s="16">
        <f t="shared" si="33"/>
        <v>2044</v>
      </c>
      <c r="M289" s="16">
        <f t="shared" si="33"/>
        <v>-25</v>
      </c>
      <c r="N289" s="13">
        <f>SUM(B289:M289)/12</f>
        <v>717.8333333333334</v>
      </c>
    </row>
    <row r="290" spans="1:14" ht="12.75">
      <c r="A290" s="15" t="s">
        <v>270</v>
      </c>
      <c r="B290" s="16">
        <v>567</v>
      </c>
      <c r="C290" s="16">
        <v>536</v>
      </c>
      <c r="D290" s="16">
        <v>476</v>
      </c>
      <c r="E290" s="16">
        <v>378</v>
      </c>
      <c r="F290" s="16">
        <v>469</v>
      </c>
      <c r="G290" s="16">
        <v>428</v>
      </c>
      <c r="H290" s="16">
        <v>490</v>
      </c>
      <c r="I290" s="16">
        <v>380</v>
      </c>
      <c r="J290" s="16">
        <v>416</v>
      </c>
      <c r="K290" s="16">
        <v>429</v>
      </c>
      <c r="L290" s="16">
        <v>436</v>
      </c>
      <c r="M290" s="16">
        <v>396</v>
      </c>
      <c r="N290" s="13">
        <f>SUM(B290:M290)/12</f>
        <v>450.0833333333333</v>
      </c>
    </row>
    <row r="291" spans="1:14" ht="12.75">
      <c r="A291" s="15" t="s">
        <v>238</v>
      </c>
      <c r="B291" s="16">
        <f aca="true" t="shared" si="34" ref="B291:M291">+B140</f>
        <v>361</v>
      </c>
      <c r="C291" s="16">
        <f t="shared" si="34"/>
        <v>326</v>
      </c>
      <c r="D291" s="16">
        <f t="shared" si="34"/>
        <v>212</v>
      </c>
      <c r="E291" s="16">
        <f t="shared" si="34"/>
        <v>467</v>
      </c>
      <c r="F291" s="16">
        <f t="shared" si="34"/>
        <v>668</v>
      </c>
      <c r="G291" s="16">
        <f t="shared" si="34"/>
        <v>-188</v>
      </c>
      <c r="H291" s="16">
        <f t="shared" si="34"/>
        <v>544</v>
      </c>
      <c r="I291" s="16">
        <f t="shared" si="34"/>
        <v>443</v>
      </c>
      <c r="J291" s="16">
        <f t="shared" si="34"/>
        <v>429</v>
      </c>
      <c r="K291" s="16">
        <f t="shared" si="34"/>
        <v>531</v>
      </c>
      <c r="L291" s="16">
        <f t="shared" si="34"/>
        <v>322</v>
      </c>
      <c r="M291" s="16">
        <f t="shared" si="34"/>
        <v>-2624</v>
      </c>
      <c r="N291" s="13">
        <f t="shared" si="32"/>
        <v>124.25</v>
      </c>
    </row>
    <row r="292" spans="1:14" ht="12.75">
      <c r="A292" s="15" t="s">
        <v>244</v>
      </c>
      <c r="B292" s="16">
        <v>532</v>
      </c>
      <c r="C292" s="16">
        <v>428</v>
      </c>
      <c r="D292" s="16">
        <v>534</v>
      </c>
      <c r="E292" s="16">
        <v>553</v>
      </c>
      <c r="F292" s="16">
        <v>705</v>
      </c>
      <c r="G292" s="16">
        <v>316</v>
      </c>
      <c r="H292" s="16">
        <v>629</v>
      </c>
      <c r="I292" s="16">
        <v>493</v>
      </c>
      <c r="J292" s="16">
        <f>37+13+168+5+400</f>
        <v>623</v>
      </c>
      <c r="K292" s="16">
        <v>632</v>
      </c>
      <c r="L292" s="16">
        <v>558</v>
      </c>
      <c r="M292" s="16">
        <v>592</v>
      </c>
      <c r="N292" s="13">
        <f t="shared" si="32"/>
        <v>549.5833333333334</v>
      </c>
    </row>
    <row r="293" spans="1:14" ht="12.75">
      <c r="A293" s="15" t="s">
        <v>219</v>
      </c>
      <c r="B293" s="16">
        <v>524</v>
      </c>
      <c r="C293" s="16">
        <v>-107</v>
      </c>
      <c r="D293" s="16">
        <v>1068</v>
      </c>
      <c r="E293" s="16">
        <v>405</v>
      </c>
      <c r="F293" s="16">
        <v>1120</v>
      </c>
      <c r="G293" s="16">
        <v>1818</v>
      </c>
      <c r="H293" s="16">
        <v>501</v>
      </c>
      <c r="I293" s="16">
        <v>217</v>
      </c>
      <c r="J293" s="16">
        <v>532</v>
      </c>
      <c r="K293" s="16">
        <v>517</v>
      </c>
      <c r="L293" s="16">
        <v>2044</v>
      </c>
      <c r="M293" s="16">
        <v>-25</v>
      </c>
      <c r="N293" s="13">
        <f t="shared" si="32"/>
        <v>717.8333333333334</v>
      </c>
    </row>
    <row r="294" spans="1:14" ht="12.75">
      <c r="A294" s="15" t="s">
        <v>226</v>
      </c>
      <c r="B294" s="16">
        <v>824</v>
      </c>
      <c r="C294" s="16">
        <v>801</v>
      </c>
      <c r="D294" s="16">
        <v>896</v>
      </c>
      <c r="E294" s="16">
        <v>796</v>
      </c>
      <c r="F294" s="16">
        <v>1036</v>
      </c>
      <c r="G294" s="16">
        <v>1125</v>
      </c>
      <c r="H294" s="16">
        <v>906</v>
      </c>
      <c r="I294" s="16">
        <v>858</v>
      </c>
      <c r="J294" s="16">
        <v>843</v>
      </c>
      <c r="K294" s="16">
        <v>617</v>
      </c>
      <c r="L294" s="16">
        <v>879</v>
      </c>
      <c r="M294" s="16">
        <v>635</v>
      </c>
      <c r="N294" s="13">
        <f t="shared" si="32"/>
        <v>851.3333333333334</v>
      </c>
    </row>
    <row r="295" spans="1:14" ht="12.75">
      <c r="A295" s="15" t="s">
        <v>208</v>
      </c>
      <c r="B295" s="8">
        <f aca="true" t="shared" si="35" ref="B295:M295">+B145</f>
        <v>298</v>
      </c>
      <c r="C295" s="8">
        <f t="shared" si="35"/>
        <v>193</v>
      </c>
      <c r="D295" s="8">
        <f t="shared" si="35"/>
        <v>458</v>
      </c>
      <c r="E295" s="8">
        <f t="shared" si="35"/>
        <v>258</v>
      </c>
      <c r="F295" s="8">
        <f t="shared" si="35"/>
        <v>238</v>
      </c>
      <c r="G295" s="8">
        <f t="shared" si="35"/>
        <v>252</v>
      </c>
      <c r="H295" s="8">
        <f t="shared" si="35"/>
        <v>131</v>
      </c>
      <c r="I295" s="8">
        <f t="shared" si="35"/>
        <v>229</v>
      </c>
      <c r="J295" s="8">
        <f t="shared" si="35"/>
        <v>245</v>
      </c>
      <c r="K295" s="8">
        <f t="shared" si="35"/>
        <v>380</v>
      </c>
      <c r="L295" s="8">
        <f t="shared" si="35"/>
        <v>108</v>
      </c>
      <c r="M295" s="8">
        <f t="shared" si="35"/>
        <v>553</v>
      </c>
      <c r="N295" s="13">
        <f aca="true" t="shared" si="36" ref="N295:N300">SUM(B295:M295)/12</f>
        <v>278.5833333333333</v>
      </c>
    </row>
    <row r="296" spans="1:14" ht="12.75">
      <c r="A296" s="15" t="s">
        <v>207</v>
      </c>
      <c r="B296" s="8">
        <v>795</v>
      </c>
      <c r="C296" s="8">
        <v>745</v>
      </c>
      <c r="D296" s="8">
        <v>698</v>
      </c>
      <c r="E296" s="8">
        <v>608</v>
      </c>
      <c r="F296" s="8">
        <v>678</v>
      </c>
      <c r="G296" s="8">
        <v>787</v>
      </c>
      <c r="H296" s="8">
        <v>763</v>
      </c>
      <c r="I296" s="8">
        <v>795</v>
      </c>
      <c r="J296" s="8">
        <v>747</v>
      </c>
      <c r="K296" s="8">
        <v>795</v>
      </c>
      <c r="L296" s="8">
        <v>806</v>
      </c>
      <c r="M296" s="8">
        <v>735</v>
      </c>
      <c r="N296" s="13">
        <f t="shared" si="36"/>
        <v>746</v>
      </c>
    </row>
    <row r="297" spans="1:14" ht="12.75" hidden="1">
      <c r="A297" t="s">
        <v>181</v>
      </c>
      <c r="B297" s="8">
        <f aca="true" t="shared" si="37" ref="B297:M297">+B147</f>
        <v>626</v>
      </c>
      <c r="C297" s="8">
        <f t="shared" si="37"/>
        <v>309</v>
      </c>
      <c r="D297" s="8">
        <f t="shared" si="37"/>
        <v>630</v>
      </c>
      <c r="E297" s="8">
        <f t="shared" si="37"/>
        <v>371</v>
      </c>
      <c r="F297" s="8">
        <f t="shared" si="37"/>
        <v>136</v>
      </c>
      <c r="G297" s="8">
        <f t="shared" si="37"/>
        <v>709</v>
      </c>
      <c r="H297" s="8">
        <f t="shared" si="37"/>
        <v>640</v>
      </c>
      <c r="I297" s="8">
        <f t="shared" si="37"/>
        <v>361</v>
      </c>
      <c r="J297" s="8">
        <f t="shared" si="37"/>
        <v>372</v>
      </c>
      <c r="K297" s="8">
        <f t="shared" si="37"/>
        <v>754</v>
      </c>
      <c r="L297" s="8">
        <f t="shared" si="37"/>
        <v>535</v>
      </c>
      <c r="M297" s="8">
        <f t="shared" si="37"/>
        <v>543</v>
      </c>
      <c r="N297" s="13">
        <f t="shared" si="36"/>
        <v>498.8333333333333</v>
      </c>
    </row>
    <row r="298" spans="1:14" ht="12.75" hidden="1">
      <c r="A298" t="s">
        <v>204</v>
      </c>
      <c r="B298" s="8">
        <v>497</v>
      </c>
      <c r="C298" s="8">
        <v>336</v>
      </c>
      <c r="D298" s="8">
        <f>320+50+25</f>
        <v>395</v>
      </c>
      <c r="E298" s="8">
        <v>468</v>
      </c>
      <c r="F298" s="8">
        <v>462</v>
      </c>
      <c r="G298" s="8">
        <v>457</v>
      </c>
      <c r="H298" s="8">
        <v>505</v>
      </c>
      <c r="I298" s="8">
        <v>486</v>
      </c>
      <c r="J298" s="8">
        <v>505</v>
      </c>
      <c r="K298" s="8">
        <v>650</v>
      </c>
      <c r="L298" s="8">
        <v>725</v>
      </c>
      <c r="M298" s="8">
        <v>850</v>
      </c>
      <c r="N298" s="13">
        <f t="shared" si="36"/>
        <v>528</v>
      </c>
    </row>
    <row r="299" spans="1:14" ht="12.75" hidden="1">
      <c r="A299" t="s">
        <v>152</v>
      </c>
      <c r="B299" s="8">
        <f aca="true" t="shared" si="38" ref="B299:M299">+B144</f>
        <v>259</v>
      </c>
      <c r="C299" s="8">
        <f t="shared" si="38"/>
        <v>176</v>
      </c>
      <c r="D299" s="8">
        <f t="shared" si="38"/>
        <v>409</v>
      </c>
      <c r="E299" s="8">
        <f t="shared" si="38"/>
        <v>250</v>
      </c>
      <c r="F299" s="8">
        <f t="shared" si="38"/>
        <v>203</v>
      </c>
      <c r="G299" s="8">
        <f t="shared" si="38"/>
        <v>-52</v>
      </c>
      <c r="H299" s="8">
        <f t="shared" si="38"/>
        <v>187</v>
      </c>
      <c r="I299" s="8">
        <f t="shared" si="38"/>
        <v>280</v>
      </c>
      <c r="J299" s="8">
        <f t="shared" si="38"/>
        <v>216</v>
      </c>
      <c r="K299" s="8">
        <f t="shared" si="38"/>
        <v>281</v>
      </c>
      <c r="L299" s="8">
        <f t="shared" si="38"/>
        <v>125</v>
      </c>
      <c r="M299" s="8">
        <f t="shared" si="38"/>
        <v>183</v>
      </c>
      <c r="N299" s="13">
        <f t="shared" si="36"/>
        <v>209.75</v>
      </c>
    </row>
    <row r="300" spans="1:14" ht="12.75" hidden="1">
      <c r="A300" t="s">
        <v>162</v>
      </c>
      <c r="B300" s="8">
        <v>318</v>
      </c>
      <c r="C300" s="8">
        <v>322</v>
      </c>
      <c r="D300" s="8">
        <v>391</v>
      </c>
      <c r="E300" s="8">
        <v>240</v>
      </c>
      <c r="F300" s="8">
        <v>310</v>
      </c>
      <c r="G300" s="8">
        <v>417</v>
      </c>
      <c r="H300" s="8">
        <v>329</v>
      </c>
      <c r="I300" s="8">
        <v>361</v>
      </c>
      <c r="J300" s="8">
        <v>246</v>
      </c>
      <c r="K300" s="8">
        <v>320</v>
      </c>
      <c r="L300" s="8">
        <v>304</v>
      </c>
      <c r="M300" s="8">
        <v>376</v>
      </c>
      <c r="N300" s="13">
        <f t="shared" si="36"/>
        <v>327.8333333333333</v>
      </c>
    </row>
    <row r="301" spans="1:14" ht="12.75" hidden="1">
      <c r="A301" t="s">
        <v>130</v>
      </c>
      <c r="B301" s="8">
        <f aca="true" t="shared" si="39" ref="B301:M301">+B145</f>
        <v>298</v>
      </c>
      <c r="C301" s="8">
        <f t="shared" si="39"/>
        <v>193</v>
      </c>
      <c r="D301" s="8">
        <f t="shared" si="39"/>
        <v>458</v>
      </c>
      <c r="E301" s="8">
        <f t="shared" si="39"/>
        <v>258</v>
      </c>
      <c r="F301" s="8">
        <f t="shared" si="39"/>
        <v>238</v>
      </c>
      <c r="G301" s="8">
        <f t="shared" si="39"/>
        <v>252</v>
      </c>
      <c r="H301" s="8">
        <f t="shared" si="39"/>
        <v>131</v>
      </c>
      <c r="I301" s="8">
        <f t="shared" si="39"/>
        <v>229</v>
      </c>
      <c r="J301" s="8">
        <f t="shared" si="39"/>
        <v>245</v>
      </c>
      <c r="K301" s="8">
        <f t="shared" si="39"/>
        <v>380</v>
      </c>
      <c r="L301" s="8">
        <f t="shared" si="39"/>
        <v>108</v>
      </c>
      <c r="M301" s="8">
        <f t="shared" si="39"/>
        <v>553</v>
      </c>
      <c r="N301" s="13">
        <v>278.5833333333333</v>
      </c>
    </row>
    <row r="302" spans="1:14" ht="12.75" hidden="1">
      <c r="A302" t="s">
        <v>139</v>
      </c>
      <c r="B302" s="8">
        <v>286</v>
      </c>
      <c r="C302" s="8">
        <v>360</v>
      </c>
      <c r="D302" s="8">
        <v>360</v>
      </c>
      <c r="E302" s="8">
        <v>285</v>
      </c>
      <c r="F302" s="8">
        <v>376</v>
      </c>
      <c r="G302" s="8">
        <v>362</v>
      </c>
      <c r="H302" s="8">
        <v>296</v>
      </c>
      <c r="I302" s="8">
        <v>356</v>
      </c>
      <c r="J302" s="8">
        <v>324</v>
      </c>
      <c r="K302" s="8">
        <v>285</v>
      </c>
      <c r="L302" s="8">
        <v>335</v>
      </c>
      <c r="M302" s="8">
        <v>292</v>
      </c>
      <c r="N302" s="13">
        <v>326.4166666666667</v>
      </c>
    </row>
    <row r="303" spans="1:14" ht="12.75" hidden="1">
      <c r="A303" t="s">
        <v>106</v>
      </c>
      <c r="B303" s="8">
        <f aca="true" t="shared" si="40" ref="B303:M303">+B146</f>
        <v>371</v>
      </c>
      <c r="C303" s="8">
        <f t="shared" si="40"/>
        <v>407</v>
      </c>
      <c r="D303" s="8">
        <f t="shared" si="40"/>
        <v>504</v>
      </c>
      <c r="E303" s="8">
        <f t="shared" si="40"/>
        <v>314</v>
      </c>
      <c r="F303" s="8">
        <f t="shared" si="40"/>
        <v>441</v>
      </c>
      <c r="G303" s="8">
        <f t="shared" si="40"/>
        <v>294</v>
      </c>
      <c r="H303" s="8">
        <f t="shared" si="40"/>
        <v>386</v>
      </c>
      <c r="I303" s="8">
        <f t="shared" si="40"/>
        <v>365</v>
      </c>
      <c r="J303" s="8">
        <f t="shared" si="40"/>
        <v>533</v>
      </c>
      <c r="K303" s="8">
        <f t="shared" si="40"/>
        <v>-15</v>
      </c>
      <c r="L303" s="8">
        <f t="shared" si="40"/>
        <v>194</v>
      </c>
      <c r="M303" s="8">
        <f t="shared" si="40"/>
        <v>182</v>
      </c>
      <c r="N303" s="13">
        <v>331.3333333333333</v>
      </c>
    </row>
    <row r="304" spans="1:14" ht="12.75" hidden="1">
      <c r="A304" t="s">
        <v>114</v>
      </c>
      <c r="B304" s="8">
        <v>539</v>
      </c>
      <c r="C304" s="8">
        <v>433</v>
      </c>
      <c r="D304" s="8">
        <v>504</v>
      </c>
      <c r="E304" s="8">
        <v>481</v>
      </c>
      <c r="F304" s="8">
        <v>441</v>
      </c>
      <c r="G304" s="8">
        <v>419</v>
      </c>
      <c r="H304" s="8">
        <v>457</v>
      </c>
      <c r="I304" s="8">
        <v>481</v>
      </c>
      <c r="J304" s="8">
        <v>351</v>
      </c>
      <c r="K304" s="8">
        <v>424</v>
      </c>
      <c r="L304" s="8">
        <v>366</v>
      </c>
      <c r="M304" s="8">
        <v>317</v>
      </c>
      <c r="N304" s="13">
        <v>434.4166666666667</v>
      </c>
    </row>
    <row r="305" spans="1:14" ht="12.75" hidden="1">
      <c r="A305" t="s">
        <v>61</v>
      </c>
      <c r="B305" s="9">
        <f aca="true" t="shared" si="41" ref="B305:K305">+B147</f>
        <v>626</v>
      </c>
      <c r="C305" s="9">
        <f t="shared" si="41"/>
        <v>309</v>
      </c>
      <c r="D305" s="9">
        <f t="shared" si="41"/>
        <v>630</v>
      </c>
      <c r="E305" s="9">
        <f t="shared" si="41"/>
        <v>371</v>
      </c>
      <c r="F305" s="9">
        <f t="shared" si="41"/>
        <v>136</v>
      </c>
      <c r="G305" s="9">
        <f t="shared" si="41"/>
        <v>709</v>
      </c>
      <c r="H305" s="9">
        <f t="shared" si="41"/>
        <v>640</v>
      </c>
      <c r="I305" s="9">
        <f t="shared" si="41"/>
        <v>361</v>
      </c>
      <c r="J305" s="9">
        <f t="shared" si="41"/>
        <v>372</v>
      </c>
      <c r="K305" s="9">
        <f t="shared" si="41"/>
        <v>754</v>
      </c>
      <c r="L305" s="9">
        <v>535</v>
      </c>
      <c r="M305" s="9">
        <f>+M147</f>
        <v>543</v>
      </c>
      <c r="N305" s="13">
        <v>498.8333333333333</v>
      </c>
    </row>
    <row r="306" spans="1:14" ht="12.75" hidden="1">
      <c r="A306" t="s">
        <v>62</v>
      </c>
      <c r="B306" s="9">
        <v>470</v>
      </c>
      <c r="C306" s="9">
        <v>448</v>
      </c>
      <c r="D306" s="9">
        <v>680</v>
      </c>
      <c r="E306" s="9">
        <f>438+65+13</f>
        <v>516</v>
      </c>
      <c r="F306" s="9">
        <v>391</v>
      </c>
      <c r="G306" s="9">
        <v>476</v>
      </c>
      <c r="H306" s="9">
        <v>468</v>
      </c>
      <c r="I306" s="9">
        <v>458</v>
      </c>
      <c r="J306" s="9">
        <v>466</v>
      </c>
      <c r="K306" s="9">
        <v>543</v>
      </c>
      <c r="L306" s="9">
        <v>400</v>
      </c>
      <c r="M306" s="9">
        <v>395</v>
      </c>
      <c r="N306" s="13">
        <v>475.9166666666667</v>
      </c>
    </row>
    <row r="307" spans="1:14" ht="12.75" hidden="1">
      <c r="A307" t="s">
        <v>43</v>
      </c>
      <c r="B307" s="8">
        <f aca="true" t="shared" si="42" ref="B307:H307">+B148</f>
        <v>62</v>
      </c>
      <c r="C307" s="8">
        <f t="shared" si="42"/>
        <v>139</v>
      </c>
      <c r="D307" s="8">
        <f t="shared" si="42"/>
        <v>593</v>
      </c>
      <c r="E307" s="8">
        <f t="shared" si="42"/>
        <v>445</v>
      </c>
      <c r="F307" s="8">
        <f t="shared" si="42"/>
        <v>687</v>
      </c>
      <c r="G307" s="8">
        <f t="shared" si="42"/>
        <v>339</v>
      </c>
      <c r="H307" s="8">
        <f t="shared" si="42"/>
        <v>474</v>
      </c>
      <c r="I307" s="8">
        <v>988</v>
      </c>
      <c r="J307" s="8">
        <f>+J148</f>
        <v>510</v>
      </c>
      <c r="K307" s="8">
        <v>500</v>
      </c>
      <c r="L307" s="8">
        <f>+L148</f>
        <v>698</v>
      </c>
      <c r="M307" s="8">
        <f>+M148</f>
        <v>476</v>
      </c>
      <c r="N307" s="13">
        <v>492.5833333333333</v>
      </c>
    </row>
    <row r="308" spans="1:14" ht="12.75" hidden="1">
      <c r="A308" t="s">
        <v>56</v>
      </c>
      <c r="B308" s="8">
        <v>559</v>
      </c>
      <c r="C308" s="8">
        <v>499</v>
      </c>
      <c r="D308" s="8">
        <v>426</v>
      </c>
      <c r="E308" s="8">
        <v>455</v>
      </c>
      <c r="F308" s="8">
        <v>495</v>
      </c>
      <c r="G308" s="8">
        <v>295</v>
      </c>
      <c r="H308" s="8">
        <v>464</v>
      </c>
      <c r="I308" s="8">
        <v>480</v>
      </c>
      <c r="J308" s="8">
        <v>567</v>
      </c>
      <c r="K308" s="8">
        <v>492</v>
      </c>
      <c r="L308" s="8">
        <v>457</v>
      </c>
      <c r="M308" s="8">
        <v>426</v>
      </c>
      <c r="N308" s="13">
        <v>467.9166666666667</v>
      </c>
    </row>
    <row r="309" spans="2:14" ht="12.75">
      <c r="B309" s="7" t="s">
        <v>77</v>
      </c>
      <c r="C309" s="7" t="s">
        <v>78</v>
      </c>
      <c r="D309" s="7" t="s">
        <v>79</v>
      </c>
      <c r="E309" s="7" t="s">
        <v>80</v>
      </c>
      <c r="F309" s="7" t="s">
        <v>81</v>
      </c>
      <c r="G309" s="7" t="s">
        <v>82</v>
      </c>
      <c r="H309" s="7" t="s">
        <v>83</v>
      </c>
      <c r="I309" s="7" t="s">
        <v>84</v>
      </c>
      <c r="J309" s="7" t="s">
        <v>85</v>
      </c>
      <c r="K309" s="7" t="s">
        <v>86</v>
      </c>
      <c r="L309" s="7" t="s">
        <v>87</v>
      </c>
      <c r="M309" s="7" t="s">
        <v>88</v>
      </c>
      <c r="N309" s="6" t="s">
        <v>119</v>
      </c>
    </row>
    <row r="310" spans="1:14" ht="12.75">
      <c r="A310" s="15" t="s">
        <v>317</v>
      </c>
      <c r="B310" s="16">
        <v>12544</v>
      </c>
      <c r="C310" s="16">
        <v>12320</v>
      </c>
      <c r="D310" s="16">
        <v>12751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3">
        <f>SUM(B310:M310)/Q$1</f>
        <v>12538.333333333334</v>
      </c>
    </row>
    <row r="311" spans="1:14" ht="12.75">
      <c r="A311" s="15" t="s">
        <v>271</v>
      </c>
      <c r="B311" s="16">
        <v>3843</v>
      </c>
      <c r="C311" s="16">
        <v>4004</v>
      </c>
      <c r="D311" s="16">
        <v>4070</v>
      </c>
      <c r="E311" s="16">
        <v>12391</v>
      </c>
      <c r="F311" s="16">
        <v>16159</v>
      </c>
      <c r="G311" s="16">
        <v>17827</v>
      </c>
      <c r="H311" s="16">
        <v>16989</v>
      </c>
      <c r="I311" s="16">
        <v>14713</v>
      </c>
      <c r="J311" s="16">
        <v>13629</v>
      </c>
      <c r="K311" s="16">
        <v>12243</v>
      </c>
      <c r="L311" s="16">
        <v>13503</v>
      </c>
      <c r="M311" s="16">
        <v>13959</v>
      </c>
      <c r="N311" s="13">
        <f aca="true" t="shared" si="43" ref="N311:N316">SUM(B311:M311)/12</f>
        <v>11944.166666666666</v>
      </c>
    </row>
    <row r="312" spans="1:14" ht="12.75">
      <c r="A312" s="15" t="s">
        <v>245</v>
      </c>
      <c r="B312" s="16">
        <v>3908</v>
      </c>
      <c r="C312" s="16">
        <v>5149</v>
      </c>
      <c r="D312" s="16">
        <v>3601</v>
      </c>
      <c r="E312" s="16">
        <v>4131</v>
      </c>
      <c r="F312" s="16">
        <v>3434</v>
      </c>
      <c r="G312" s="16">
        <v>3499</v>
      </c>
      <c r="H312" s="16">
        <v>2757</v>
      </c>
      <c r="I312" s="16">
        <v>1744</v>
      </c>
      <c r="J312" s="16">
        <v>3145</v>
      </c>
      <c r="K312" s="16">
        <v>4663</v>
      </c>
      <c r="L312" s="16">
        <v>5682</v>
      </c>
      <c r="M312" s="16">
        <v>4902</v>
      </c>
      <c r="N312" s="13">
        <f t="shared" si="43"/>
        <v>3884.5833333333335</v>
      </c>
    </row>
    <row r="313" spans="1:14" ht="12.75">
      <c r="A313" s="15" t="s">
        <v>228</v>
      </c>
      <c r="B313" s="16">
        <v>4339</v>
      </c>
      <c r="C313" s="16">
        <v>4351</v>
      </c>
      <c r="D313" s="16">
        <v>2522</v>
      </c>
      <c r="E313" s="16">
        <v>3232</v>
      </c>
      <c r="F313" s="16">
        <v>3383</v>
      </c>
      <c r="G313" s="16">
        <v>3466</v>
      </c>
      <c r="H313" s="16">
        <v>2786</v>
      </c>
      <c r="I313" s="16">
        <v>1860</v>
      </c>
      <c r="J313" s="16">
        <v>2140</v>
      </c>
      <c r="K313" s="16">
        <v>5284</v>
      </c>
      <c r="L313" s="16">
        <v>5466</v>
      </c>
      <c r="M313" s="16">
        <v>3763</v>
      </c>
      <c r="N313" s="13">
        <f t="shared" si="43"/>
        <v>3549.3333333333335</v>
      </c>
    </row>
    <row r="314" spans="1:14" ht="12.75">
      <c r="A314" s="15" t="s">
        <v>205</v>
      </c>
      <c r="B314" s="16">
        <v>6174</v>
      </c>
      <c r="C314" s="16">
        <v>6893</v>
      </c>
      <c r="D314" s="16">
        <v>5593</v>
      </c>
      <c r="E314" s="16">
        <v>4257</v>
      </c>
      <c r="F314" s="16">
        <v>2924</v>
      </c>
      <c r="G314" s="16">
        <v>1630</v>
      </c>
      <c r="H314" s="16">
        <v>629</v>
      </c>
      <c r="I314" s="16">
        <v>274</v>
      </c>
      <c r="J314" s="16">
        <v>-151</v>
      </c>
      <c r="K314" s="16">
        <v>569</v>
      </c>
      <c r="L314" s="16">
        <v>2513</v>
      </c>
      <c r="M314" s="16">
        <v>3512</v>
      </c>
      <c r="N314" s="13">
        <f t="shared" si="43"/>
        <v>2901.4166666666665</v>
      </c>
    </row>
    <row r="315" spans="1:14" ht="12.75" hidden="1">
      <c r="A315" t="s">
        <v>167</v>
      </c>
      <c r="B315" s="8">
        <v>13894</v>
      </c>
      <c r="C315" s="8">
        <v>13263</v>
      </c>
      <c r="D315" s="8">
        <v>12141</v>
      </c>
      <c r="E315" s="8">
        <v>10474</v>
      </c>
      <c r="F315" s="8">
        <v>9162</v>
      </c>
      <c r="G315" s="8">
        <v>7153</v>
      </c>
      <c r="H315" s="8">
        <v>5637</v>
      </c>
      <c r="I315" s="8">
        <v>5328</v>
      </c>
      <c r="J315" s="8">
        <v>3371</v>
      </c>
      <c r="K315" s="8">
        <v>3090</v>
      </c>
      <c r="L315" s="8">
        <v>5936</v>
      </c>
      <c r="M315" s="8">
        <v>6579</v>
      </c>
      <c r="N315" s="13">
        <f t="shared" si="43"/>
        <v>8002.333333333333</v>
      </c>
    </row>
    <row r="316" spans="1:14" ht="12.75" hidden="1">
      <c r="A316" t="s">
        <v>163</v>
      </c>
      <c r="B316" s="8">
        <v>19794</v>
      </c>
      <c r="C316" s="8">
        <v>21816</v>
      </c>
      <c r="D316" s="8">
        <v>21392</v>
      </c>
      <c r="E316" s="8">
        <v>20943</v>
      </c>
      <c r="F316" s="8">
        <v>19827</v>
      </c>
      <c r="G316" s="8">
        <v>18579</v>
      </c>
      <c r="H316" s="8">
        <v>17674</v>
      </c>
      <c r="I316" s="8">
        <v>16477</v>
      </c>
      <c r="J316" s="8">
        <v>14501</v>
      </c>
      <c r="K316" s="8">
        <v>12975</v>
      </c>
      <c r="L316" s="8">
        <v>14741</v>
      </c>
      <c r="M316" s="8">
        <v>14512</v>
      </c>
      <c r="N316" s="13">
        <f t="shared" si="43"/>
        <v>17769.25</v>
      </c>
    </row>
    <row r="317" spans="1:14" ht="12.75" hidden="1">
      <c r="A317" t="s">
        <v>140</v>
      </c>
      <c r="B317" s="8">
        <v>14298</v>
      </c>
      <c r="C317" s="8">
        <v>15736</v>
      </c>
      <c r="D317" s="8">
        <v>15605</v>
      </c>
      <c r="E317" s="8">
        <v>15916</v>
      </c>
      <c r="F317" s="8">
        <v>15999</v>
      </c>
      <c r="G317" s="8">
        <v>16114</v>
      </c>
      <c r="H317" s="8">
        <v>17255</v>
      </c>
      <c r="I317" s="8">
        <v>16534</v>
      </c>
      <c r="J317" s="8">
        <v>15556</v>
      </c>
      <c r="K317" s="8">
        <v>17079</v>
      </c>
      <c r="L317" s="8">
        <v>20358</v>
      </c>
      <c r="M317" s="8">
        <v>20289</v>
      </c>
      <c r="N317" s="13">
        <v>16728.25</v>
      </c>
    </row>
    <row r="318" spans="1:14" ht="12.75" hidden="1">
      <c r="A318" t="s">
        <v>115</v>
      </c>
      <c r="B318" s="8">
        <v>8642</v>
      </c>
      <c r="C318" s="8">
        <v>10849</v>
      </c>
      <c r="D318" s="8">
        <v>9994</v>
      </c>
      <c r="E318" s="8">
        <v>9487</v>
      </c>
      <c r="F318" s="8">
        <v>8943</v>
      </c>
      <c r="G318" s="8">
        <v>8850</v>
      </c>
      <c r="H318" s="8">
        <v>9222</v>
      </c>
      <c r="I318" s="8">
        <v>8792</v>
      </c>
      <c r="J318" s="8">
        <v>8184</v>
      </c>
      <c r="K318" s="8">
        <v>8678</v>
      </c>
      <c r="L318" s="8">
        <v>11845</v>
      </c>
      <c r="M318" s="8">
        <v>13306</v>
      </c>
      <c r="N318" s="13">
        <v>9732.666666666666</v>
      </c>
    </row>
    <row r="319" spans="1:14" ht="12.75" hidden="1">
      <c r="A319" t="s">
        <v>60</v>
      </c>
      <c r="B319" s="9">
        <v>5788</v>
      </c>
      <c r="C319" s="9">
        <v>5579</v>
      </c>
      <c r="D319" s="9">
        <v>8243</v>
      </c>
      <c r="E319" s="9">
        <v>7244</v>
      </c>
      <c r="F319" s="9">
        <v>7136</v>
      </c>
      <c r="G319" s="9">
        <v>6370</v>
      </c>
      <c r="H319" s="9">
        <v>6424</v>
      </c>
      <c r="I319" s="9">
        <v>5363</v>
      </c>
      <c r="J319" s="9">
        <v>5427</v>
      </c>
      <c r="K319" s="9">
        <v>6033</v>
      </c>
      <c r="L319" s="9">
        <v>8865</v>
      </c>
      <c r="M319" s="9">
        <v>9326</v>
      </c>
      <c r="N319" s="13">
        <v>6816.5</v>
      </c>
    </row>
    <row r="320" spans="1:14" ht="12.75" hidden="1">
      <c r="A320" t="s">
        <v>59</v>
      </c>
      <c r="B320" s="8">
        <f>2733+823</f>
        <v>3556</v>
      </c>
      <c r="C320" s="8">
        <v>3114</v>
      </c>
      <c r="D320" s="8">
        <v>3234</v>
      </c>
      <c r="E320" s="8">
        <f>2322+786</f>
        <v>3108</v>
      </c>
      <c r="F320" s="8">
        <f>2691+694</f>
        <v>3385</v>
      </c>
      <c r="G320" s="8">
        <f>2744+85</f>
        <v>2829</v>
      </c>
      <c r="H320" s="8">
        <f>3060+85</f>
        <v>3145</v>
      </c>
      <c r="I320" s="8">
        <f>2164+1284</f>
        <v>3448</v>
      </c>
      <c r="J320" s="8">
        <v>2245</v>
      </c>
      <c r="K320" s="8">
        <v>2245</v>
      </c>
      <c r="L320" s="8">
        <v>6061</v>
      </c>
      <c r="M320" s="8">
        <v>6042</v>
      </c>
      <c r="N320" s="13">
        <v>3534.3333333333335</v>
      </c>
    </row>
    <row r="321" spans="1:14" ht="12.75" hidden="1">
      <c r="A321" t="s">
        <v>5</v>
      </c>
      <c r="B321" s="8">
        <v>2994</v>
      </c>
      <c r="C321" s="8">
        <v>2877</v>
      </c>
      <c r="D321" s="8">
        <v>2873</v>
      </c>
      <c r="E321" s="8">
        <v>2979</v>
      </c>
      <c r="F321" s="8">
        <v>2687</v>
      </c>
      <c r="G321" s="8">
        <v>3050</v>
      </c>
      <c r="H321" s="8">
        <v>2750</v>
      </c>
      <c r="I321" s="8">
        <v>2398</v>
      </c>
      <c r="J321" s="8">
        <f>1370+1000</f>
        <v>2370</v>
      </c>
      <c r="K321" s="8">
        <f>1000+1337</f>
        <v>2337</v>
      </c>
      <c r="L321" s="8">
        <f>1411+869</f>
        <v>2280</v>
      </c>
      <c r="M321" s="8">
        <f>1731+856</f>
        <v>2587</v>
      </c>
      <c r="N321" s="13">
        <v>2681.8333333333335</v>
      </c>
    </row>
    <row r="322" spans="1:13" ht="12.75" hidden="1">
      <c r="A322" t="s">
        <v>4</v>
      </c>
      <c r="B322" s="8">
        <v>2576</v>
      </c>
      <c r="C322" s="8">
        <v>2903</v>
      </c>
      <c r="D322" s="8">
        <v>2961</v>
      </c>
      <c r="E322" s="8">
        <v>2955</v>
      </c>
      <c r="F322" s="8">
        <v>2828</v>
      </c>
      <c r="G322" s="8">
        <v>2960</v>
      </c>
      <c r="H322" s="8">
        <v>3090</v>
      </c>
      <c r="I322" s="8">
        <v>2778</v>
      </c>
      <c r="J322" s="8">
        <v>2330</v>
      </c>
      <c r="K322" s="8">
        <v>2957</v>
      </c>
      <c r="L322" s="8">
        <v>2657</v>
      </c>
      <c r="M322" s="8">
        <v>2623</v>
      </c>
    </row>
    <row r="323" spans="2:14" ht="12.75">
      <c r="B323" s="7" t="s">
        <v>77</v>
      </c>
      <c r="C323" s="7" t="s">
        <v>78</v>
      </c>
      <c r="D323" s="7" t="s">
        <v>79</v>
      </c>
      <c r="E323" s="7" t="s">
        <v>80</v>
      </c>
      <c r="F323" s="7" t="s">
        <v>81</v>
      </c>
      <c r="G323" s="7" t="s">
        <v>82</v>
      </c>
      <c r="H323" s="7" t="s">
        <v>83</v>
      </c>
      <c r="I323" s="7" t="s">
        <v>84</v>
      </c>
      <c r="J323" s="7" t="s">
        <v>85</v>
      </c>
      <c r="K323" s="7" t="s">
        <v>86</v>
      </c>
      <c r="L323" s="7" t="s">
        <v>87</v>
      </c>
      <c r="M323" s="7" t="s">
        <v>88</v>
      </c>
      <c r="N323" s="6" t="s">
        <v>119</v>
      </c>
    </row>
    <row r="324" spans="1:13" ht="12.75" hidden="1">
      <c r="A324" t="s">
        <v>116</v>
      </c>
      <c r="B324" s="8">
        <v>12453</v>
      </c>
      <c r="C324" s="8">
        <v>13087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</row>
    <row r="325" spans="1:13" ht="12.75" hidden="1">
      <c r="A325" t="s">
        <v>89</v>
      </c>
      <c r="B325" s="9">
        <v>12638</v>
      </c>
      <c r="C325" s="9">
        <v>13364</v>
      </c>
      <c r="D325" s="9">
        <v>14694</v>
      </c>
      <c r="E325" s="9">
        <v>15018</v>
      </c>
      <c r="F325" s="9">
        <v>15656</v>
      </c>
      <c r="G325" s="9">
        <v>16384</v>
      </c>
      <c r="H325" s="9">
        <v>16980</v>
      </c>
      <c r="I325" s="9">
        <v>15041</v>
      </c>
      <c r="J325" s="9">
        <v>15132</v>
      </c>
      <c r="K325" s="9">
        <v>15990</v>
      </c>
      <c r="L325" s="9">
        <v>14266</v>
      </c>
      <c r="M325" s="9">
        <v>13758</v>
      </c>
    </row>
    <row r="326" spans="1:13" ht="12.75" hidden="1">
      <c r="A326" t="s">
        <v>90</v>
      </c>
      <c r="B326" s="8">
        <v>10491</v>
      </c>
      <c r="C326" s="8">
        <v>10760</v>
      </c>
      <c r="D326" s="8">
        <v>9962</v>
      </c>
      <c r="E326" s="8">
        <v>10145</v>
      </c>
      <c r="F326" s="8">
        <v>10342</v>
      </c>
      <c r="G326" s="8">
        <v>10355</v>
      </c>
      <c r="H326" s="8">
        <v>10184</v>
      </c>
      <c r="I326" s="8">
        <v>9865</v>
      </c>
      <c r="J326" s="8">
        <v>10677</v>
      </c>
      <c r="K326" s="8">
        <v>10321</v>
      </c>
      <c r="L326" s="8">
        <v>11346</v>
      </c>
      <c r="M326" s="8">
        <v>11331</v>
      </c>
    </row>
    <row r="327" spans="1:14" ht="12.75">
      <c r="A327" s="15" t="s">
        <v>318</v>
      </c>
      <c r="B327" s="16">
        <v>6787</v>
      </c>
      <c r="C327" s="16">
        <v>6512</v>
      </c>
      <c r="D327" s="16">
        <v>5829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3">
        <f>SUM(B327:M327)/Q$1</f>
        <v>6376</v>
      </c>
    </row>
    <row r="328" spans="1:14" ht="12.75">
      <c r="A328" s="15" t="s">
        <v>272</v>
      </c>
      <c r="B328" s="16">
        <v>4853</v>
      </c>
      <c r="C328" s="16">
        <v>4908</v>
      </c>
      <c r="D328" s="16">
        <v>4531</v>
      </c>
      <c r="E328" s="16">
        <v>3335</v>
      </c>
      <c r="F328" s="16">
        <v>3688</v>
      </c>
      <c r="G328" s="16">
        <v>4055</v>
      </c>
      <c r="H328" s="16">
        <v>4568</v>
      </c>
      <c r="I328" s="16">
        <v>4127</v>
      </c>
      <c r="J328" s="16">
        <v>4169</v>
      </c>
      <c r="K328" s="16">
        <v>4765</v>
      </c>
      <c r="L328" s="16">
        <v>6322</v>
      </c>
      <c r="M328" s="16">
        <v>6342</v>
      </c>
      <c r="N328" s="13">
        <f aca="true" t="shared" si="44" ref="N328:N333">SUM(B328:M328)/12</f>
        <v>4638.583333333333</v>
      </c>
    </row>
    <row r="329" spans="1:14" ht="12.75">
      <c r="A329" s="15" t="s">
        <v>246</v>
      </c>
      <c r="B329" s="16">
        <v>4168</v>
      </c>
      <c r="C329" s="16">
        <v>4375</v>
      </c>
      <c r="D329" s="16">
        <v>5427</v>
      </c>
      <c r="E329" s="16">
        <v>5473</v>
      </c>
      <c r="F329" s="16">
        <v>5419</v>
      </c>
      <c r="G329" s="16">
        <v>4934</v>
      </c>
      <c r="H329" s="16">
        <v>4875</v>
      </c>
      <c r="I329" s="16">
        <v>3938</v>
      </c>
      <c r="J329" s="16">
        <v>4358</v>
      </c>
      <c r="K329" s="16">
        <v>4365</v>
      </c>
      <c r="L329" s="16">
        <v>4611</v>
      </c>
      <c r="M329" s="16">
        <v>4453</v>
      </c>
      <c r="N329" s="13">
        <f t="shared" si="44"/>
        <v>4699.666666666667</v>
      </c>
    </row>
    <row r="330" spans="1:14" ht="12.75">
      <c r="A330" s="15" t="s">
        <v>227</v>
      </c>
      <c r="B330" s="16">
        <v>5813</v>
      </c>
      <c r="C330" s="16">
        <v>7035</v>
      </c>
      <c r="D330" s="16">
        <v>7355</v>
      </c>
      <c r="E330" s="16">
        <v>7372</v>
      </c>
      <c r="F330" s="16">
        <v>7571</v>
      </c>
      <c r="G330" s="16">
        <v>7736</v>
      </c>
      <c r="H330" s="16">
        <v>7457</v>
      </c>
      <c r="I330" s="16">
        <v>7515</v>
      </c>
      <c r="J330" s="16">
        <v>7347</v>
      </c>
      <c r="K330" s="16">
        <v>6649</v>
      </c>
      <c r="L330" s="16">
        <v>5677</v>
      </c>
      <c r="M330" s="16">
        <v>3820</v>
      </c>
      <c r="N330" s="13">
        <f t="shared" si="44"/>
        <v>6778.916666666667</v>
      </c>
    </row>
    <row r="331" spans="1:14" ht="12.75">
      <c r="A331" s="15" t="s">
        <v>206</v>
      </c>
      <c r="B331" s="16">
        <v>5870</v>
      </c>
      <c r="C331" s="16">
        <v>5882</v>
      </c>
      <c r="D331" s="16">
        <v>6213</v>
      </c>
      <c r="E331" s="16">
        <v>5456</v>
      </c>
      <c r="F331" s="16">
        <v>6621</v>
      </c>
      <c r="G331" s="16">
        <v>7018</v>
      </c>
      <c r="H331" s="16">
        <v>6536</v>
      </c>
      <c r="I331" s="16">
        <v>6358</v>
      </c>
      <c r="J331" s="16">
        <v>5865</v>
      </c>
      <c r="K331" s="16">
        <v>6445</v>
      </c>
      <c r="L331" s="16">
        <v>5179</v>
      </c>
      <c r="M331" s="16">
        <v>4767</v>
      </c>
      <c r="N331" s="13">
        <f t="shared" si="44"/>
        <v>6017.5</v>
      </c>
    </row>
    <row r="332" spans="1:14" ht="12.75" hidden="1">
      <c r="A332" s="15" t="s">
        <v>188</v>
      </c>
      <c r="B332" s="16">
        <v>4831</v>
      </c>
      <c r="C332" s="16">
        <v>5212</v>
      </c>
      <c r="D332" s="16">
        <v>5370</v>
      </c>
      <c r="E332" s="16">
        <v>5887</v>
      </c>
      <c r="F332" s="16">
        <v>5919</v>
      </c>
      <c r="G332" s="16">
        <v>5676</v>
      </c>
      <c r="H332" s="16">
        <v>5216</v>
      </c>
      <c r="I332" s="16">
        <v>5172</v>
      </c>
      <c r="J332" s="16">
        <v>6411</v>
      </c>
      <c r="K332" s="16">
        <v>5663</v>
      </c>
      <c r="L332" s="16">
        <v>5388</v>
      </c>
      <c r="M332" s="16">
        <v>5613</v>
      </c>
      <c r="N332" s="13">
        <f t="shared" si="44"/>
        <v>5529.833333333333</v>
      </c>
    </row>
    <row r="333" spans="1:14" ht="12.75" hidden="1">
      <c r="A333" t="s">
        <v>164</v>
      </c>
      <c r="B333" s="8">
        <v>2259</v>
      </c>
      <c r="C333" s="8">
        <v>3470</v>
      </c>
      <c r="D333" s="8">
        <v>3143</v>
      </c>
      <c r="E333" s="8">
        <v>3157</v>
      </c>
      <c r="F333" s="8">
        <v>3176</v>
      </c>
      <c r="G333" s="8">
        <v>3450</v>
      </c>
      <c r="H333" s="8">
        <v>3182</v>
      </c>
      <c r="I333" s="8">
        <v>3240</v>
      </c>
      <c r="J333" s="8">
        <v>3258</v>
      </c>
      <c r="K333" s="8">
        <v>3618</v>
      </c>
      <c r="L333" s="8">
        <v>3356</v>
      </c>
      <c r="M333" s="8">
        <v>4141</v>
      </c>
      <c r="N333" s="14">
        <f t="shared" si="44"/>
        <v>3287.5</v>
      </c>
    </row>
    <row r="334" spans="1:14" ht="12.75" hidden="1">
      <c r="A334" t="s">
        <v>141</v>
      </c>
      <c r="B334" s="8">
        <v>3205</v>
      </c>
      <c r="C334" s="8">
        <v>3000</v>
      </c>
      <c r="D334" s="8">
        <v>3168</v>
      </c>
      <c r="E334" s="8">
        <v>2674</v>
      </c>
      <c r="F334" s="8">
        <v>2693</v>
      </c>
      <c r="G334" s="8">
        <v>2989</v>
      </c>
      <c r="H334" s="8">
        <v>2673</v>
      </c>
      <c r="I334" s="8">
        <v>2883</v>
      </c>
      <c r="J334" s="8">
        <v>3100</v>
      </c>
      <c r="K334" s="8">
        <v>3208</v>
      </c>
      <c r="L334" s="8">
        <v>3267</v>
      </c>
      <c r="M334" s="8">
        <v>2637</v>
      </c>
      <c r="N334" s="13">
        <v>2958.0833333333335</v>
      </c>
    </row>
    <row r="335" spans="1:14" ht="12.75" hidden="1">
      <c r="A335" t="s">
        <v>117</v>
      </c>
      <c r="B335" s="8">
        <v>3032</v>
      </c>
      <c r="C335" s="8">
        <v>3446</v>
      </c>
      <c r="D335" s="8">
        <v>3182</v>
      </c>
      <c r="E335" s="8">
        <v>3470</v>
      </c>
      <c r="F335" s="8">
        <v>3248</v>
      </c>
      <c r="G335" s="8">
        <v>3710</v>
      </c>
      <c r="H335" s="8">
        <v>3464</v>
      </c>
      <c r="I335" s="8">
        <v>3516</v>
      </c>
      <c r="J335" s="8">
        <v>3486</v>
      </c>
      <c r="K335" s="8">
        <v>3361</v>
      </c>
      <c r="L335" s="8">
        <v>3247</v>
      </c>
      <c r="M335" s="8">
        <v>3085</v>
      </c>
      <c r="N335" s="13">
        <v>3353.9166666666665</v>
      </c>
    </row>
    <row r="336" spans="1:14" ht="12.75" hidden="1">
      <c r="A336" t="s">
        <v>91</v>
      </c>
      <c r="B336" s="8">
        <v>1481</v>
      </c>
      <c r="C336" s="8">
        <v>1679</v>
      </c>
      <c r="D336" s="8">
        <v>2519</v>
      </c>
      <c r="E336" s="8">
        <v>2532</v>
      </c>
      <c r="F336" s="8">
        <v>2801</v>
      </c>
      <c r="G336" s="9">
        <v>2988</v>
      </c>
      <c r="H336" s="9">
        <v>3741</v>
      </c>
      <c r="I336" s="9">
        <v>3512</v>
      </c>
      <c r="J336" s="9">
        <v>3201</v>
      </c>
      <c r="K336" s="9">
        <v>3406</v>
      </c>
      <c r="L336" s="9">
        <v>3630</v>
      </c>
      <c r="M336" s="9">
        <v>2799</v>
      </c>
      <c r="N336" s="13">
        <v>2857.4166666666665</v>
      </c>
    </row>
    <row r="337" spans="1:14" ht="12.75" hidden="1">
      <c r="A337" t="s">
        <v>92</v>
      </c>
      <c r="B337" s="8">
        <v>2073</v>
      </c>
      <c r="C337" s="8">
        <v>2021</v>
      </c>
      <c r="D337" s="8">
        <v>1751</v>
      </c>
      <c r="E337" s="8">
        <v>1501</v>
      </c>
      <c r="F337" s="8">
        <v>1343</v>
      </c>
      <c r="G337" s="8">
        <v>1055</v>
      </c>
      <c r="H337" s="8">
        <v>914</v>
      </c>
      <c r="I337" s="8">
        <v>637</v>
      </c>
      <c r="J337" s="8">
        <v>221</v>
      </c>
      <c r="K337" s="8">
        <v>384</v>
      </c>
      <c r="L337" s="8">
        <v>338</v>
      </c>
      <c r="M337" s="8">
        <v>1192</v>
      </c>
      <c r="N337" s="13">
        <v>1119.1666666666667</v>
      </c>
    </row>
    <row r="338" spans="2:61" ht="12.75">
      <c r="B338" s="6">
        <v>42736</v>
      </c>
      <c r="C338" s="6">
        <v>42767</v>
      </c>
      <c r="D338" s="6">
        <v>42795</v>
      </c>
      <c r="E338" s="6">
        <v>42826</v>
      </c>
      <c r="F338" s="6">
        <v>42856</v>
      </c>
      <c r="G338" s="6">
        <v>42887</v>
      </c>
      <c r="H338" s="6">
        <v>42917</v>
      </c>
      <c r="I338" s="6">
        <v>42948</v>
      </c>
      <c r="J338" s="6">
        <v>42979</v>
      </c>
      <c r="K338" s="6">
        <v>43009</v>
      </c>
      <c r="L338" s="6">
        <v>43040</v>
      </c>
      <c r="M338" s="6">
        <v>43070</v>
      </c>
      <c r="N338" s="6">
        <v>43131</v>
      </c>
      <c r="O338" s="6">
        <v>43159</v>
      </c>
      <c r="P338" s="6">
        <v>43190</v>
      </c>
      <c r="Q338" s="6">
        <v>43220</v>
      </c>
      <c r="R338" s="6">
        <v>43251</v>
      </c>
      <c r="S338" s="6">
        <v>43281</v>
      </c>
      <c r="T338" s="6">
        <v>43312</v>
      </c>
      <c r="U338" s="6">
        <v>43343</v>
      </c>
      <c r="V338" s="6">
        <v>43373</v>
      </c>
      <c r="W338" s="6">
        <v>43404</v>
      </c>
      <c r="X338" s="6">
        <v>43434</v>
      </c>
      <c r="Y338" s="6">
        <v>43465</v>
      </c>
      <c r="Z338" s="6">
        <v>43496</v>
      </c>
      <c r="AA338" s="6">
        <v>43524</v>
      </c>
      <c r="AB338" s="6">
        <v>43555</v>
      </c>
      <c r="AC338" s="6">
        <v>43585</v>
      </c>
      <c r="AD338" s="6">
        <v>43616</v>
      </c>
      <c r="AE338" s="6">
        <v>43646</v>
      </c>
      <c r="AF338" s="6">
        <v>43677</v>
      </c>
      <c r="AG338" s="6">
        <v>43708</v>
      </c>
      <c r="AH338" s="6">
        <v>43738</v>
      </c>
      <c r="AI338" s="6">
        <v>43769</v>
      </c>
      <c r="AJ338" s="6">
        <v>43799</v>
      </c>
      <c r="AK338" s="6">
        <v>43830</v>
      </c>
      <c r="AL338" s="6">
        <v>43861</v>
      </c>
      <c r="AM338" s="6">
        <v>43890</v>
      </c>
      <c r="AN338" s="6">
        <v>43921</v>
      </c>
      <c r="AO338" s="6">
        <v>43951</v>
      </c>
      <c r="AP338" s="6">
        <v>43982</v>
      </c>
      <c r="AQ338" s="6">
        <v>44012</v>
      </c>
      <c r="AR338" s="6">
        <v>44043</v>
      </c>
      <c r="AS338" s="6">
        <v>44074</v>
      </c>
      <c r="AT338" s="6">
        <v>44104</v>
      </c>
      <c r="AU338" s="6">
        <v>44135</v>
      </c>
      <c r="AV338" s="6">
        <v>44165</v>
      </c>
      <c r="AW338" s="6">
        <v>44196</v>
      </c>
      <c r="AX338" s="6">
        <v>44227</v>
      </c>
      <c r="AY338" s="6">
        <v>44255</v>
      </c>
      <c r="AZ338" s="6">
        <v>44286</v>
      </c>
      <c r="BA338" s="6">
        <v>44316</v>
      </c>
      <c r="BB338" s="6">
        <v>44347</v>
      </c>
      <c r="BC338" s="6">
        <v>44377</v>
      </c>
      <c r="BD338" s="6">
        <v>44408</v>
      </c>
      <c r="BE338" s="6">
        <v>44439</v>
      </c>
      <c r="BF338" s="6">
        <v>44469</v>
      </c>
      <c r="BG338" s="6">
        <v>44500</v>
      </c>
      <c r="BH338" s="6">
        <v>44530</v>
      </c>
      <c r="BI338" s="6">
        <v>44561</v>
      </c>
    </row>
    <row r="339" spans="1:52" ht="12.75">
      <c r="A339" t="s">
        <v>94</v>
      </c>
      <c r="B339" s="1">
        <v>1300381.69</v>
      </c>
      <c r="C339" s="1">
        <v>1211129.58</v>
      </c>
      <c r="D339" s="1">
        <v>1420848.01</v>
      </c>
      <c r="E339" s="1">
        <f>1288993.77+22702</f>
        <v>1311695.77</v>
      </c>
      <c r="F339" s="1">
        <f>544440.33+372119.08</f>
        <v>916559.4099999999</v>
      </c>
      <c r="G339" s="1">
        <f>188623.44+1004360</f>
        <v>1192983.44</v>
      </c>
      <c r="H339" s="1">
        <f>139073.49+1355840.07</f>
        <v>1494913.56</v>
      </c>
      <c r="I339" s="1">
        <f>47611.65+0+1928918</f>
        <v>1976529.65</v>
      </c>
      <c r="J339" s="1">
        <f>46827.59+1687112</f>
        <v>1733939.59</v>
      </c>
      <c r="K339" s="1">
        <f>84681.55+1958324.26</f>
        <v>2043005.81</v>
      </c>
      <c r="L339" s="1">
        <f>57522.64+0+2040213.86</f>
        <v>2097736.5</v>
      </c>
      <c r="M339" s="1">
        <v>1891841.01</v>
      </c>
      <c r="N339" s="1">
        <f>1728028.39+33231.46+32112.82+909001.18</f>
        <v>2702373.85</v>
      </c>
      <c r="O339" s="1">
        <v>1857516</v>
      </c>
      <c r="P339" s="1">
        <v>2015435</v>
      </c>
      <c r="Q339" s="1">
        <v>2016282</v>
      </c>
      <c r="R339" s="1">
        <v>2117248</v>
      </c>
      <c r="S339" s="1">
        <v>1601814</v>
      </c>
      <c r="T339" s="1">
        <f>1785502+2140.92</f>
        <v>1787642.92</v>
      </c>
      <c r="U339" s="1">
        <v>1900673</v>
      </c>
      <c r="V339" s="1">
        <v>1777133</v>
      </c>
      <c r="W339" s="1">
        <f>1970519.41-21490.92-11331.25</f>
        <v>1937697.24</v>
      </c>
      <c r="X339" s="1">
        <v>2092478</v>
      </c>
      <c r="Y339" s="1">
        <v>1825405</v>
      </c>
      <c r="Z339" s="1">
        <f>1942416.36-460947.19-5283.26-17309.12-15514</f>
        <v>1443362.79</v>
      </c>
      <c r="AA339" s="1">
        <v>2232649.91</v>
      </c>
      <c r="AB339" s="1">
        <v>2251000.7</v>
      </c>
      <c r="AC339" s="1">
        <v>2244853.65</v>
      </c>
      <c r="AD339" s="1">
        <v>2171426</v>
      </c>
      <c r="AE339" s="1">
        <v>2044846.74</v>
      </c>
      <c r="AF339" s="1">
        <v>2030373</v>
      </c>
      <c r="AG339" s="1">
        <v>1911074</v>
      </c>
      <c r="AH339" s="1">
        <v>2020140</v>
      </c>
      <c r="AI339" s="1">
        <v>2365679</v>
      </c>
      <c r="AJ339" s="1">
        <v>2321418.85</v>
      </c>
      <c r="AK339" s="1">
        <v>2862801.99</v>
      </c>
      <c r="AL339" s="1">
        <v>2175701</v>
      </c>
      <c r="AM339" s="1">
        <v>2054505.78</v>
      </c>
      <c r="AN339" s="1">
        <v>2586783</v>
      </c>
      <c r="AO339" s="1">
        <v>2017683</v>
      </c>
      <c r="AP339" s="1">
        <v>1505128</v>
      </c>
      <c r="AQ339" s="1">
        <v>1506153.95</v>
      </c>
      <c r="AR339" s="1">
        <v>1961664.23</v>
      </c>
      <c r="AS339" s="1">
        <v>1844373.36</v>
      </c>
      <c r="AT339" s="1">
        <v>2307842.29</v>
      </c>
      <c r="AU339" s="1">
        <v>2005483</v>
      </c>
      <c r="AV339" s="1">
        <v>1514917.81</v>
      </c>
      <c r="AW339" s="1">
        <v>2090201.07</v>
      </c>
      <c r="AX339" s="1">
        <v>1893300.52</v>
      </c>
      <c r="AY339" s="1">
        <v>2344837</v>
      </c>
      <c r="AZ339" s="1">
        <v>2912551</v>
      </c>
    </row>
    <row r="340" spans="1:52" ht="12.75">
      <c r="A340" t="s">
        <v>93</v>
      </c>
      <c r="B340" s="1">
        <v>2918489.77</v>
      </c>
      <c r="C340" s="1">
        <v>2906657.16</v>
      </c>
      <c r="D340" s="1">
        <v>1375209</v>
      </c>
      <c r="E340" s="1">
        <v>1477924.05</v>
      </c>
      <c r="F340" s="1">
        <v>806825.71</v>
      </c>
      <c r="G340" s="1">
        <v>1229397.6</v>
      </c>
      <c r="H340" s="1">
        <v>1788613.37</v>
      </c>
      <c r="I340" s="1">
        <v>1360482.21</v>
      </c>
      <c r="J340" s="1">
        <v>3238204.53</v>
      </c>
      <c r="K340" s="1">
        <v>807883.91</v>
      </c>
      <c r="L340" s="1">
        <v>1801314.66</v>
      </c>
      <c r="M340" s="1">
        <f>135828.37+2282206.42</f>
        <v>2418034.79</v>
      </c>
      <c r="N340" s="1">
        <f>40224.34-874695+4139456.35-33231.46-32112.82-909001.18</f>
        <v>2330640.23</v>
      </c>
      <c r="O340" s="1">
        <f>15905.89+0+83337.98</f>
        <v>99243.87</v>
      </c>
      <c r="P340" s="1">
        <f>17170+873254+197262.78</f>
        <v>1087686.78</v>
      </c>
      <c r="Q340" s="1">
        <f>5705+2049.64+16371.87+734347.57</f>
        <v>758474.08</v>
      </c>
      <c r="R340" s="1">
        <f>2359+62816.27+345.77+21594.41</f>
        <v>87115.45</v>
      </c>
      <c r="S340" s="1">
        <f>357.01+64237.76+119422.79</f>
        <v>184017.56</v>
      </c>
      <c r="T340" s="1">
        <f>14142.71+8.05+158593+744857+53913+461.47+12927.19+9127</f>
        <v>994029.4199999999</v>
      </c>
      <c r="U340" s="1">
        <v>772374</v>
      </c>
      <c r="V340" s="1">
        <v>3032</v>
      </c>
      <c r="W340" s="1">
        <v>0</v>
      </c>
      <c r="X340" s="1">
        <v>0</v>
      </c>
      <c r="Y340" s="1">
        <v>0</v>
      </c>
      <c r="Z340" s="1">
        <f>1942416.36-1443363</f>
        <v>499053.3600000001</v>
      </c>
      <c r="AA340" s="1">
        <v>470719</v>
      </c>
      <c r="AB340" s="1">
        <v>463215.45</v>
      </c>
      <c r="AC340" s="1">
        <v>236630</v>
      </c>
      <c r="AD340" s="1">
        <f>37982+300000</f>
        <v>337982</v>
      </c>
      <c r="AE340" s="1">
        <v>367908.79</v>
      </c>
      <c r="AF340" s="1">
        <v>1350363</v>
      </c>
      <c r="AG340" s="1">
        <v>36445</v>
      </c>
      <c r="AH340" s="1">
        <f>25663.33+2154000</f>
        <v>2179663.33</v>
      </c>
      <c r="AI340" s="1">
        <f>686000+271000+13000</f>
        <v>970000</v>
      </c>
      <c r="AJ340" s="1">
        <v>1450000</v>
      </c>
      <c r="AK340" s="1">
        <v>750000</v>
      </c>
      <c r="AL340" s="1">
        <v>500010</v>
      </c>
      <c r="AM340" s="1">
        <v>325630</v>
      </c>
      <c r="AN340" s="1">
        <v>315600</v>
      </c>
      <c r="AO340" s="1">
        <v>8597000</v>
      </c>
      <c r="AP340">
        <f>3939000+250680</f>
        <v>4189680</v>
      </c>
      <c r="AQ340" s="1">
        <v>386471</v>
      </c>
      <c r="AR340" s="1">
        <v>376540</v>
      </c>
      <c r="AS340" s="1">
        <v>387454</v>
      </c>
      <c r="AT340" s="1">
        <v>276340</v>
      </c>
      <c r="AU340" s="1">
        <v>1900643</v>
      </c>
      <c r="AV340" s="1">
        <v>3365438</v>
      </c>
      <c r="AW340" s="1">
        <v>459335.77</v>
      </c>
      <c r="AX340">
        <f>802240.05+117743</f>
        <v>919983.05</v>
      </c>
      <c r="AY340" s="1">
        <v>356179</v>
      </c>
      <c r="AZ340" s="1">
        <v>404306</v>
      </c>
    </row>
    <row r="341" spans="1:37" ht="12.75">
      <c r="A341" t="s">
        <v>95</v>
      </c>
      <c r="B341">
        <v>47123.56</v>
      </c>
      <c r="C341">
        <v>65061.58</v>
      </c>
      <c r="D341">
        <v>63979</v>
      </c>
      <c r="E341">
        <v>35183.04</v>
      </c>
      <c r="F341">
        <v>86688.85</v>
      </c>
      <c r="G341">
        <v>23321.59</v>
      </c>
      <c r="H341">
        <v>3222</v>
      </c>
      <c r="I341">
        <f>3987+22881</f>
        <v>26868</v>
      </c>
      <c r="J341">
        <v>6445.95</v>
      </c>
      <c r="K341">
        <f>6239.31+28446.69</f>
        <v>34686</v>
      </c>
      <c r="L341">
        <v>958.62</v>
      </c>
      <c r="M341">
        <v>2396</v>
      </c>
      <c r="N341">
        <v>932.67</v>
      </c>
      <c r="O341">
        <v>0</v>
      </c>
      <c r="P341">
        <v>9780</v>
      </c>
      <c r="Q341">
        <v>9600</v>
      </c>
      <c r="R341">
        <v>2316</v>
      </c>
      <c r="S341">
        <v>0</v>
      </c>
      <c r="T341">
        <v>0</v>
      </c>
      <c r="U341">
        <v>10251</v>
      </c>
      <c r="V341">
        <v>291122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</row>
    <row r="342" spans="1:61" ht="12.75">
      <c r="A342" t="s">
        <v>96</v>
      </c>
      <c r="B342" s="1">
        <f>SUM(B339:B341)</f>
        <v>4265995.02</v>
      </c>
      <c r="C342" s="1">
        <f aca="true" t="shared" si="45" ref="C342:X342">SUM(C339:C341)</f>
        <v>4182848.3200000003</v>
      </c>
      <c r="D342" s="1">
        <f t="shared" si="45"/>
        <v>2860036.01</v>
      </c>
      <c r="E342" s="1">
        <f t="shared" si="45"/>
        <v>2824802.8600000003</v>
      </c>
      <c r="F342" s="1">
        <f t="shared" si="45"/>
        <v>1810073.97</v>
      </c>
      <c r="G342" s="1">
        <f t="shared" si="45"/>
        <v>2445702.63</v>
      </c>
      <c r="H342" s="1">
        <f t="shared" si="45"/>
        <v>3286748.93</v>
      </c>
      <c r="I342" s="1">
        <f t="shared" si="45"/>
        <v>3363879.86</v>
      </c>
      <c r="J342" s="1">
        <f t="shared" si="45"/>
        <v>4978590.07</v>
      </c>
      <c r="K342" s="1">
        <f t="shared" si="45"/>
        <v>2885575.72</v>
      </c>
      <c r="L342" s="1">
        <f t="shared" si="45"/>
        <v>3900009.7800000003</v>
      </c>
      <c r="M342" s="1">
        <f t="shared" si="45"/>
        <v>4312271.8</v>
      </c>
      <c r="N342" s="1">
        <f t="shared" si="45"/>
        <v>5033946.75</v>
      </c>
      <c r="O342" s="1">
        <f t="shared" si="45"/>
        <v>1956759.87</v>
      </c>
      <c r="P342" s="1">
        <f t="shared" si="45"/>
        <v>3112901.7800000003</v>
      </c>
      <c r="Q342" s="1">
        <f t="shared" si="45"/>
        <v>2784356.08</v>
      </c>
      <c r="R342" s="1">
        <f t="shared" si="45"/>
        <v>2206679.45</v>
      </c>
      <c r="S342" s="1">
        <f t="shared" si="45"/>
        <v>1785831.56</v>
      </c>
      <c r="T342" s="1">
        <f t="shared" si="45"/>
        <v>2781672.34</v>
      </c>
      <c r="U342" s="1">
        <f t="shared" si="45"/>
        <v>2683298</v>
      </c>
      <c r="V342" s="1">
        <f t="shared" si="45"/>
        <v>2071287</v>
      </c>
      <c r="W342" s="1">
        <f t="shared" si="45"/>
        <v>1937697.24</v>
      </c>
      <c r="X342" s="1">
        <f t="shared" si="45"/>
        <v>2092478</v>
      </c>
      <c r="Y342" s="1">
        <f>SUM(Y339:Y341)</f>
        <v>1825405</v>
      </c>
      <c r="Z342" s="1">
        <f aca="true" t="shared" si="46" ref="Z342:AJ342">SUM(Z339:Z341)</f>
        <v>1942416.1500000001</v>
      </c>
      <c r="AA342" s="1">
        <f t="shared" si="46"/>
        <v>2703368.91</v>
      </c>
      <c r="AB342" s="1">
        <f t="shared" si="46"/>
        <v>2714216.1500000004</v>
      </c>
      <c r="AC342" s="1">
        <f t="shared" si="46"/>
        <v>2481483.65</v>
      </c>
      <c r="AD342" s="1">
        <f t="shared" si="46"/>
        <v>2509408</v>
      </c>
      <c r="AE342" s="1">
        <f t="shared" si="46"/>
        <v>2412755.53</v>
      </c>
      <c r="AF342" s="1">
        <f t="shared" si="46"/>
        <v>3380736</v>
      </c>
      <c r="AG342" s="1">
        <f t="shared" si="46"/>
        <v>1947519</v>
      </c>
      <c r="AH342" s="1">
        <f t="shared" si="46"/>
        <v>4199803.33</v>
      </c>
      <c r="AI342" s="1">
        <f t="shared" si="46"/>
        <v>3335679</v>
      </c>
      <c r="AJ342" s="1">
        <f t="shared" si="46"/>
        <v>3771418.85</v>
      </c>
      <c r="AK342" s="1">
        <f>SUM(AK339:AK341)</f>
        <v>3612801.99</v>
      </c>
      <c r="AL342" s="1">
        <f aca="true" t="shared" si="47" ref="AL342:BI342">SUM(AL339:AL341)</f>
        <v>2675711</v>
      </c>
      <c r="AM342" s="1">
        <f t="shared" si="47"/>
        <v>2380135.7800000003</v>
      </c>
      <c r="AN342" s="1">
        <f t="shared" si="47"/>
        <v>2902383</v>
      </c>
      <c r="AO342" s="1">
        <f t="shared" si="47"/>
        <v>10614683</v>
      </c>
      <c r="AP342" s="1">
        <f t="shared" si="47"/>
        <v>5694808</v>
      </c>
      <c r="AQ342" s="1">
        <f t="shared" si="47"/>
        <v>1892624.95</v>
      </c>
      <c r="AR342" s="1">
        <f t="shared" si="47"/>
        <v>2338204.23</v>
      </c>
      <c r="AS342" s="1">
        <f t="shared" si="47"/>
        <v>2231827.3600000003</v>
      </c>
      <c r="AT342" s="1">
        <f t="shared" si="47"/>
        <v>2584182.29</v>
      </c>
      <c r="AU342" s="1">
        <f t="shared" si="47"/>
        <v>3906126</v>
      </c>
      <c r="AV342" s="1">
        <f t="shared" si="47"/>
        <v>4880355.8100000005</v>
      </c>
      <c r="AW342" s="1">
        <f t="shared" si="47"/>
        <v>2549536.84</v>
      </c>
      <c r="AX342" s="1">
        <f t="shared" si="47"/>
        <v>2813283.5700000003</v>
      </c>
      <c r="AY342" s="1">
        <f t="shared" si="47"/>
        <v>2701016</v>
      </c>
      <c r="AZ342" s="1">
        <f t="shared" si="47"/>
        <v>3316857</v>
      </c>
      <c r="BA342" s="1">
        <f t="shared" si="47"/>
        <v>0</v>
      </c>
      <c r="BB342" s="1">
        <f t="shared" si="47"/>
        <v>0</v>
      </c>
      <c r="BC342" s="1">
        <f t="shared" si="47"/>
        <v>0</v>
      </c>
      <c r="BD342" s="1">
        <f t="shared" si="47"/>
        <v>0</v>
      </c>
      <c r="BE342" s="1">
        <f t="shared" si="47"/>
        <v>0</v>
      </c>
      <c r="BF342" s="1">
        <f t="shared" si="47"/>
        <v>0</v>
      </c>
      <c r="BG342" s="1">
        <f t="shared" si="47"/>
        <v>0</v>
      </c>
      <c r="BH342" s="1">
        <f t="shared" si="47"/>
        <v>0</v>
      </c>
      <c r="BI342" s="1">
        <f t="shared" si="47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A1">
      <selection activeCell="A32" sqref="A32:L32"/>
    </sheetView>
  </sheetViews>
  <sheetFormatPr defaultColWidth="9.140625" defaultRowHeight="12.75"/>
  <sheetData>
    <row r="7" spans="1:12" ht="12.75">
      <c r="A7" s="2">
        <v>526405.33</v>
      </c>
      <c r="B7" s="2">
        <v>481049.13</v>
      </c>
      <c r="C7" s="2">
        <v>524626.51</v>
      </c>
      <c r="D7" s="3">
        <v>509650.18</v>
      </c>
      <c r="E7" s="2">
        <v>507391.02</v>
      </c>
      <c r="F7" s="2">
        <v>492460.78</v>
      </c>
      <c r="G7" s="2">
        <v>518246.29</v>
      </c>
      <c r="H7" s="2">
        <v>360936.17</v>
      </c>
      <c r="I7" s="2">
        <v>678300.74</v>
      </c>
      <c r="J7" s="2">
        <v>537132.28</v>
      </c>
      <c r="K7" s="2">
        <v>520796.18</v>
      </c>
      <c r="L7" s="2">
        <f>499768.75+250</f>
        <v>500018.75</v>
      </c>
    </row>
    <row r="8" spans="1:12" ht="12.75">
      <c r="A8" s="2">
        <v>102582.57</v>
      </c>
      <c r="B8" s="2">
        <v>93626.15</v>
      </c>
      <c r="C8" s="2">
        <v>150736.52</v>
      </c>
      <c r="D8" s="3">
        <v>120283.71</v>
      </c>
      <c r="E8" s="2">
        <v>108630.4</v>
      </c>
      <c r="F8" s="2">
        <v>137919.35</v>
      </c>
      <c r="G8" s="2">
        <v>155730.45</v>
      </c>
      <c r="H8" s="2">
        <v>101813.03</v>
      </c>
      <c r="I8" s="2">
        <v>161593.47</v>
      </c>
      <c r="J8" s="2">
        <v>216092.31</v>
      </c>
      <c r="K8" s="2">
        <v>148096.69</v>
      </c>
      <c r="L8" s="2">
        <v>268199.87</v>
      </c>
    </row>
    <row r="10" spans="1:12" ht="12.75">
      <c r="A10" s="4">
        <f>SUM(A7:A8)</f>
        <v>628987.8999999999</v>
      </c>
      <c r="B10" s="4">
        <f aca="true" t="shared" si="0" ref="B10:L10">SUM(B7:B8)</f>
        <v>574675.28</v>
      </c>
      <c r="C10" s="4">
        <f t="shared" si="0"/>
        <v>675363.03</v>
      </c>
      <c r="D10" s="4">
        <f t="shared" si="0"/>
        <v>629933.89</v>
      </c>
      <c r="E10" s="4">
        <f t="shared" si="0"/>
        <v>616021.42</v>
      </c>
      <c r="F10" s="4">
        <f t="shared" si="0"/>
        <v>630380.13</v>
      </c>
      <c r="G10" s="4">
        <f t="shared" si="0"/>
        <v>673976.74</v>
      </c>
      <c r="H10" s="4">
        <f t="shared" si="0"/>
        <v>462749.19999999995</v>
      </c>
      <c r="I10" s="4">
        <f t="shared" si="0"/>
        <v>839894.21</v>
      </c>
      <c r="J10" s="4">
        <f t="shared" si="0"/>
        <v>753224.5900000001</v>
      </c>
      <c r="K10" s="4">
        <f t="shared" si="0"/>
        <v>668892.87</v>
      </c>
      <c r="L10" s="4">
        <f t="shared" si="0"/>
        <v>768218.62</v>
      </c>
    </row>
    <row r="12" spans="1:12" ht="12.75">
      <c r="A12" s="1">
        <f>+A10/1000</f>
        <v>628.9878999999999</v>
      </c>
      <c r="B12" s="1">
        <f aca="true" t="shared" si="1" ref="B12:L12">+B10/1000</f>
        <v>574.67528</v>
      </c>
      <c r="C12" s="1">
        <f t="shared" si="1"/>
        <v>675.36303</v>
      </c>
      <c r="D12" s="1">
        <f t="shared" si="1"/>
        <v>629.93389</v>
      </c>
      <c r="E12" s="1">
        <f t="shared" si="1"/>
        <v>616.02142</v>
      </c>
      <c r="F12" s="1">
        <f t="shared" si="1"/>
        <v>630.38013</v>
      </c>
      <c r="G12" s="1">
        <f t="shared" si="1"/>
        <v>673.97674</v>
      </c>
      <c r="H12" s="1">
        <f t="shared" si="1"/>
        <v>462.7492</v>
      </c>
      <c r="I12" s="1">
        <f t="shared" si="1"/>
        <v>839.8942099999999</v>
      </c>
      <c r="J12" s="1">
        <f t="shared" si="1"/>
        <v>753.22459</v>
      </c>
      <c r="K12" s="1">
        <f t="shared" si="1"/>
        <v>668.89287</v>
      </c>
      <c r="L12" s="1">
        <f t="shared" si="1"/>
        <v>768.21862</v>
      </c>
    </row>
    <row r="14" spans="1:12" ht="12.75">
      <c r="A14" s="2">
        <v>129704.31</v>
      </c>
      <c r="B14" s="2">
        <v>115460.97</v>
      </c>
      <c r="C14" s="2">
        <v>132609.58</v>
      </c>
      <c r="D14" s="3">
        <v>104060.85</v>
      </c>
      <c r="E14" s="2">
        <v>134680.82</v>
      </c>
      <c r="F14" s="2">
        <v>154400.12</v>
      </c>
      <c r="G14" s="2">
        <v>84076.09</v>
      </c>
      <c r="H14" s="2">
        <v>138577.29</v>
      </c>
      <c r="I14" s="2">
        <v>139812.82</v>
      </c>
      <c r="J14" s="2">
        <v>112519.1</v>
      </c>
      <c r="K14" s="2">
        <v>123472.27</v>
      </c>
      <c r="L14" s="2">
        <v>112108.3</v>
      </c>
    </row>
    <row r="16" spans="1:12" ht="12.75">
      <c r="A16" s="1">
        <f>+A14/1000</f>
        <v>129.70431</v>
      </c>
      <c r="B16" s="1">
        <f aca="true" t="shared" si="2" ref="B16:L16">+B14/1000</f>
        <v>115.46097</v>
      </c>
      <c r="C16" s="1">
        <f t="shared" si="2"/>
        <v>132.60958</v>
      </c>
      <c r="D16" s="1">
        <f t="shared" si="2"/>
        <v>104.06085</v>
      </c>
      <c r="E16" s="1">
        <f t="shared" si="2"/>
        <v>134.68082</v>
      </c>
      <c r="F16" s="1">
        <f t="shared" si="2"/>
        <v>154.40012</v>
      </c>
      <c r="G16" s="1">
        <f t="shared" si="2"/>
        <v>84.07609</v>
      </c>
      <c r="H16" s="1">
        <f t="shared" si="2"/>
        <v>138.57729</v>
      </c>
      <c r="I16" s="1">
        <f t="shared" si="2"/>
        <v>139.81282000000002</v>
      </c>
      <c r="J16" s="1">
        <f t="shared" si="2"/>
        <v>112.51910000000001</v>
      </c>
      <c r="K16" s="1">
        <f t="shared" si="2"/>
        <v>123.47227000000001</v>
      </c>
      <c r="L16" s="1">
        <f t="shared" si="2"/>
        <v>112.1083</v>
      </c>
    </row>
    <row r="18" spans="1:12" ht="12.75">
      <c r="A18" s="5">
        <v>247789.95</v>
      </c>
      <c r="B18" s="5">
        <v>312968.98</v>
      </c>
      <c r="C18" s="5">
        <v>287156.01</v>
      </c>
      <c r="D18" s="3">
        <v>141898</v>
      </c>
      <c r="E18" s="5">
        <v>356825</v>
      </c>
      <c r="F18" s="5">
        <v>98902.45</v>
      </c>
      <c r="G18" s="5">
        <v>295240</v>
      </c>
      <c r="H18" s="5">
        <v>483395</v>
      </c>
      <c r="I18" s="5">
        <v>272096</v>
      </c>
      <c r="J18" s="5">
        <v>134257</v>
      </c>
      <c r="K18" s="5">
        <v>287662</v>
      </c>
      <c r="L18" s="5">
        <v>179254.76</v>
      </c>
    </row>
    <row r="20" spans="1:12" ht="12.75">
      <c r="A20" s="1">
        <f>+A18/1000</f>
        <v>247.78995</v>
      </c>
      <c r="B20" s="1">
        <f aca="true" t="shared" si="3" ref="B20:L20">+B18/1000</f>
        <v>312.96898</v>
      </c>
      <c r="C20" s="1">
        <f t="shared" si="3"/>
        <v>287.15601000000004</v>
      </c>
      <c r="D20" s="1">
        <f t="shared" si="3"/>
        <v>141.898</v>
      </c>
      <c r="E20" s="1">
        <f t="shared" si="3"/>
        <v>356.825</v>
      </c>
      <c r="F20" s="1">
        <f t="shared" si="3"/>
        <v>98.90245</v>
      </c>
      <c r="G20" s="1">
        <f t="shared" si="3"/>
        <v>295.24</v>
      </c>
      <c r="H20" s="1">
        <f t="shared" si="3"/>
        <v>483.395</v>
      </c>
      <c r="I20" s="1">
        <f t="shared" si="3"/>
        <v>272.096</v>
      </c>
      <c r="J20" s="1">
        <f t="shared" si="3"/>
        <v>134.257</v>
      </c>
      <c r="K20" s="1">
        <f t="shared" si="3"/>
        <v>287.662</v>
      </c>
      <c r="L20" s="1">
        <f t="shared" si="3"/>
        <v>179.25476</v>
      </c>
    </row>
    <row r="23" spans="1:12" ht="12.75">
      <c r="A23">
        <v>1324831.28</v>
      </c>
      <c r="B23">
        <v>1343175.4</v>
      </c>
      <c r="C23">
        <v>1420085.86</v>
      </c>
      <c r="D23">
        <v>1272075.18</v>
      </c>
      <c r="E23">
        <v>1496508.17</v>
      </c>
      <c r="F23">
        <v>1281021.28</v>
      </c>
      <c r="G23">
        <v>1401756.77</v>
      </c>
      <c r="H23">
        <v>1509971.23</v>
      </c>
      <c r="I23">
        <v>1695774.04</v>
      </c>
      <c r="J23">
        <v>1459252.87</v>
      </c>
      <c r="K23">
        <v>1476143.02</v>
      </c>
      <c r="L23">
        <v>1476062.39</v>
      </c>
    </row>
    <row r="24" spans="1:12" ht="12.75">
      <c r="A24">
        <v>-14267.75</v>
      </c>
      <c r="B24">
        <v>35673.13</v>
      </c>
      <c r="C24">
        <v>86967.07</v>
      </c>
      <c r="D24">
        <v>38062.87</v>
      </c>
      <c r="E24">
        <v>41947.35</v>
      </c>
      <c r="F24">
        <v>41596.46</v>
      </c>
      <c r="G24">
        <v>-2737.810000000012</v>
      </c>
      <c r="H24">
        <v>-1244.19</v>
      </c>
      <c r="I24">
        <v>-4268.210000000006</v>
      </c>
      <c r="J24">
        <v>-7604.7</v>
      </c>
      <c r="K24">
        <v>-10952.88</v>
      </c>
      <c r="L24">
        <v>26281.52</v>
      </c>
    </row>
    <row r="26" spans="1:12" ht="12.75">
      <c r="A26" s="4">
        <f>SUM(A23:A24)</f>
        <v>1310563.53</v>
      </c>
      <c r="B26" s="4">
        <f aca="true" t="shared" si="4" ref="B26:L26">SUM(B23:B24)</f>
        <v>1378848.5299999998</v>
      </c>
      <c r="C26" s="4">
        <f t="shared" si="4"/>
        <v>1507052.9300000002</v>
      </c>
      <c r="D26" s="4">
        <f t="shared" si="4"/>
        <v>1310138.05</v>
      </c>
      <c r="E26" s="4">
        <f t="shared" si="4"/>
        <v>1538455.52</v>
      </c>
      <c r="F26" s="4">
        <f t="shared" si="4"/>
        <v>1322617.74</v>
      </c>
      <c r="G26" s="4">
        <f t="shared" si="4"/>
        <v>1399018.96</v>
      </c>
      <c r="H26" s="4">
        <f t="shared" si="4"/>
        <v>1508727.04</v>
      </c>
      <c r="I26" s="4">
        <f t="shared" si="4"/>
        <v>1691505.83</v>
      </c>
      <c r="J26" s="4">
        <f t="shared" si="4"/>
        <v>1451648.1700000002</v>
      </c>
      <c r="K26" s="4">
        <f t="shared" si="4"/>
        <v>1465190.1400000001</v>
      </c>
      <c r="L26" s="4">
        <f t="shared" si="4"/>
        <v>1502343.91</v>
      </c>
    </row>
    <row r="28" spans="1:12" ht="12.75">
      <c r="A28" s="1">
        <f>+A26/1000</f>
        <v>1310.5635300000001</v>
      </c>
      <c r="B28" s="1">
        <f aca="true" t="shared" si="5" ref="B28:L28">+B26/1000</f>
        <v>1378.8485299999998</v>
      </c>
      <c r="C28" s="1">
        <f t="shared" si="5"/>
        <v>1507.05293</v>
      </c>
      <c r="D28" s="1">
        <f t="shared" si="5"/>
        <v>1310.13805</v>
      </c>
      <c r="E28" s="1">
        <f t="shared" si="5"/>
        <v>1538.45552</v>
      </c>
      <c r="F28" s="1">
        <f t="shared" si="5"/>
        <v>1322.61774</v>
      </c>
      <c r="G28" s="1">
        <f t="shared" si="5"/>
        <v>1399.0189599999999</v>
      </c>
      <c r="H28" s="1">
        <f t="shared" si="5"/>
        <v>1508.72704</v>
      </c>
      <c r="I28" s="1">
        <f t="shared" si="5"/>
        <v>1691.50583</v>
      </c>
      <c r="J28" s="1">
        <f t="shared" si="5"/>
        <v>1451.6481700000002</v>
      </c>
      <c r="K28" s="1">
        <f t="shared" si="5"/>
        <v>1465.1901400000002</v>
      </c>
      <c r="L28" s="1">
        <f t="shared" si="5"/>
        <v>1502.3439099999998</v>
      </c>
    </row>
    <row r="30" spans="1:12" ht="12.75">
      <c r="A30">
        <v>210390.4</v>
      </c>
      <c r="B30">
        <v>-31052.53000000016</v>
      </c>
      <c r="C30">
        <v>-96878.22</v>
      </c>
      <c r="D30">
        <v>3384.5000000001164</v>
      </c>
      <c r="E30">
        <v>8985.949999999866</v>
      </c>
      <c r="F30">
        <v>200000.33</v>
      </c>
      <c r="G30">
        <v>-29809.340000000273</v>
      </c>
      <c r="H30">
        <v>-91634.68</v>
      </c>
      <c r="I30">
        <v>-90441.1299999997</v>
      </c>
      <c r="J30">
        <v>-210027.62</v>
      </c>
      <c r="K30">
        <v>-128385.94</v>
      </c>
      <c r="L30">
        <v>-21390.090000000106</v>
      </c>
    </row>
    <row r="32" spans="1:12" ht="12.75">
      <c r="A32" s="1">
        <f>+A30/1000</f>
        <v>210.3904</v>
      </c>
      <c r="B32" s="1">
        <f aca="true" t="shared" si="6" ref="B32:L32">+B30/1000</f>
        <v>-31.052530000000157</v>
      </c>
      <c r="C32" s="1">
        <f t="shared" si="6"/>
        <v>-96.87822</v>
      </c>
      <c r="D32" s="1">
        <f t="shared" si="6"/>
        <v>3.3845000000001164</v>
      </c>
      <c r="E32" s="1">
        <f t="shared" si="6"/>
        <v>8.985949999999866</v>
      </c>
      <c r="F32" s="1">
        <f t="shared" si="6"/>
        <v>200.00033</v>
      </c>
      <c r="G32" s="1">
        <f t="shared" si="6"/>
        <v>-29.809340000000272</v>
      </c>
      <c r="H32" s="1">
        <f t="shared" si="6"/>
        <v>-91.63467999999999</v>
      </c>
      <c r="I32" s="1">
        <f t="shared" si="6"/>
        <v>-90.4411299999997</v>
      </c>
      <c r="J32" s="1">
        <f t="shared" si="6"/>
        <v>-210.02761999999998</v>
      </c>
      <c r="K32" s="1">
        <f t="shared" si="6"/>
        <v>-128.38594</v>
      </c>
      <c r="L32" s="1">
        <f t="shared" si="6"/>
        <v>-21.390090000000107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EveretJH</dc:creator>
  <cp:keywords/>
  <dc:description/>
  <cp:lastModifiedBy>John Everett</cp:lastModifiedBy>
  <cp:lastPrinted>2020-12-03T16:39:44Z</cp:lastPrinted>
  <dcterms:created xsi:type="dcterms:W3CDTF">2001-07-18T18:22:13Z</dcterms:created>
  <dcterms:modified xsi:type="dcterms:W3CDTF">2021-04-26T21:46:40Z</dcterms:modified>
  <cp:category/>
  <cp:version/>
  <cp:contentType/>
  <cp:contentStatus/>
</cp:coreProperties>
</file>